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912" yWindow="60" windowWidth="17880" windowHeight="12300" tabRatio="897" activeTab="0"/>
  </bookViews>
  <sheets>
    <sheet name="業務情報" sheetId="1" r:id="rId1"/>
    <sheet name="基準点(TS 1)" sheetId="2" state="hidden" r:id="rId2"/>
    <sheet name="基準点 (TS その1)" sheetId="3" r:id="rId3"/>
    <sheet name="基準点 (TS その2)" sheetId="4" r:id="rId4"/>
    <sheet name="基準点(TS 2)" sheetId="5" state="hidden" r:id="rId5"/>
    <sheet name="基準点 (GPS)" sheetId="6" r:id="rId6"/>
    <sheet name="基準点(GPS)" sheetId="7" state="hidden" r:id="rId7"/>
    <sheet name="水準測量(その1)" sheetId="8" state="hidden" r:id="rId8"/>
    <sheet name="水準測量 (その1)" sheetId="9" r:id="rId9"/>
    <sheet name="水準測量 (その2)" sheetId="10" r:id="rId10"/>
    <sheet name="簡易水準" sheetId="11" r:id="rId11"/>
    <sheet name="路線,河川,海浜,用地" sheetId="12" r:id="rId12"/>
    <sheet name="横断" sheetId="13" r:id="rId13"/>
    <sheet name="縦断" sheetId="14" r:id="rId14"/>
    <sheet name="用地実測図原図" sheetId="15" r:id="rId15"/>
    <sheet name="用地平面図" sheetId="16" r:id="rId16"/>
    <sheet name="現況測量" sheetId="17" r:id="rId17"/>
    <sheet name="Sheet1" sheetId="18" state="hidden" r:id="rId18"/>
  </sheets>
  <externalReferences>
    <externalReference r:id="rId21"/>
  </externalReferences>
  <definedNames>
    <definedName name="_xlnm.Print_Area" localSheetId="12">'横断'!$B$7:$AX$29</definedName>
    <definedName name="_xlnm.Print_Area" localSheetId="10">'簡易水準'!$B$5:$AG$30</definedName>
    <definedName name="_xlnm.Print_Area" localSheetId="5">'基準点 (GPS)'!$B$7:$BB$33</definedName>
    <definedName name="_xlnm.Print_Area" localSheetId="2">'基準点 (TS その1)'!$B$7:$AX$37</definedName>
    <definedName name="_xlnm.Print_Area" localSheetId="3">'基準点 (TS その2)'!$B$7:$AX$36</definedName>
    <definedName name="_xlnm.Print_Area" localSheetId="6">'基準点(GPS)'!$B$7:$BB$33</definedName>
    <definedName name="_xlnm.Print_Area" localSheetId="1">'基準点(TS 1)'!$B$7:$AX$37</definedName>
    <definedName name="_xlnm.Print_Area" localSheetId="4">'基準点(TS 2)'!$B$7:$AX$36</definedName>
    <definedName name="_xlnm.Print_Area" localSheetId="0">'業務情報'!$B$2:$K$31</definedName>
    <definedName name="_xlnm.Print_Area" localSheetId="13">'縦断'!$B$7:$AX$27</definedName>
    <definedName name="_xlnm.Print_Area" localSheetId="8">'水準測量 (その1)'!$B$7:$AZ$32</definedName>
    <definedName name="_xlnm.Print_Area" localSheetId="9">'水準測量 (その2)'!$B$7:$AW$25</definedName>
    <definedName name="_xlnm.Print_Area" localSheetId="7">'水準測量(その1)'!$B$7:$BB$29</definedName>
    <definedName name="_xlnm.Print_Area" localSheetId="14">'用地実測図原図'!$B$5:$R$34</definedName>
    <definedName name="_xlnm.Print_Area" localSheetId="15">'用地平面図'!$B$5:$R$33</definedName>
    <definedName name="_xlnm.Print_Area" localSheetId="11">'路線,河川,海浜,用地'!$B$7:$AW$28</definedName>
    <definedName name="技術者名簿">'[1]業務情報'!$B$13:$B$22</definedName>
    <definedName name="点検者名簿">'[1]業務情報'!$C$13:$C$22</definedName>
  </definedNames>
  <calcPr fullCalcOnLoad="1"/>
</workbook>
</file>

<file path=xl/comments10.xml><?xml version="1.0" encoding="utf-8"?>
<comments xmlns="http://schemas.openxmlformats.org/spreadsheetml/2006/main">
  <authors>
    <author>作成者</author>
    <author>Surveytech</author>
  </authors>
  <commentList>
    <comment ref="BD11" authorId="0">
      <text>
        <r>
          <rPr>
            <b/>
            <sz val="9"/>
            <rFont val="ＭＳ Ｐゴシック"/>
            <family val="3"/>
          </rPr>
          <t>許容範囲リスト</t>
        </r>
      </text>
    </comment>
    <comment ref="BD19" authorId="0">
      <text>
        <r>
          <rPr>
            <b/>
            <sz val="9"/>
            <rFont val="ＭＳ Ｐゴシック"/>
            <family val="3"/>
          </rPr>
          <t>等級の戻り値</t>
        </r>
      </text>
    </comment>
    <comment ref="BD16" authorId="0">
      <text>
        <r>
          <rPr>
            <b/>
            <sz val="9"/>
            <rFont val="ＭＳ Ｐゴシック"/>
            <family val="3"/>
          </rPr>
          <t xml:space="preserve">閉合差リスト
</t>
        </r>
      </text>
    </comment>
    <comment ref="BC17" authorId="1">
      <text>
        <r>
          <rPr>
            <b/>
            <sz val="9"/>
            <rFont val="ＭＳ Ｐゴシック"/>
            <family val="3"/>
          </rPr>
          <t>仮BMの区分の返り値</t>
        </r>
      </text>
    </comment>
    <comment ref="BD20" authorId="1">
      <text>
        <r>
          <rPr>
            <b/>
            <sz val="9"/>
            <rFont val="ＭＳ Ｐゴシック"/>
            <family val="3"/>
          </rPr>
          <t>blank</t>
        </r>
      </text>
    </comment>
    <comment ref="BD17" authorId="1">
      <text>
        <r>
          <rPr>
            <b/>
            <sz val="9"/>
            <rFont val="ＭＳ Ｐゴシック"/>
            <family val="3"/>
          </rPr>
          <t>環閉合</t>
        </r>
      </text>
    </comment>
    <comment ref="BD18" authorId="1">
      <text>
        <r>
          <rPr>
            <b/>
            <sz val="9"/>
            <rFont val="ＭＳ Ｐゴシック"/>
            <family val="3"/>
          </rPr>
          <t>既知点結合</t>
        </r>
      </text>
    </comment>
  </commentList>
</comments>
</file>

<file path=xl/comments11.xml><?xml version="1.0" encoding="utf-8"?>
<comments xmlns="http://schemas.openxmlformats.org/spreadsheetml/2006/main">
  <authors>
    <author>作成者</author>
    <author>Surveytech</author>
  </authors>
  <commentList>
    <comment ref="AK6" authorId="0">
      <text>
        <r>
          <rPr>
            <b/>
            <sz val="9"/>
            <rFont val="ＭＳ Ｐゴシック"/>
            <family val="3"/>
          </rPr>
          <t xml:space="preserve">区分リスト
</t>
        </r>
      </text>
    </comment>
    <comment ref="AL6" authorId="0">
      <text>
        <r>
          <rPr>
            <b/>
            <sz val="9"/>
            <rFont val="ＭＳ Ｐゴシック"/>
            <family val="3"/>
          </rPr>
          <t>許容範囲リスト</t>
        </r>
      </text>
    </comment>
    <comment ref="N8" authorId="1">
      <text>
        <r>
          <rPr>
            <b/>
            <sz val="9"/>
            <rFont val="ＭＳ Ｐゴシック"/>
            <family val="3"/>
          </rPr>
          <t>環閉合: 40mm√S
既知点結合: 50mm√S</t>
        </r>
      </text>
    </comment>
    <comment ref="AD8" authorId="1">
      <text>
        <r>
          <rPr>
            <b/>
            <sz val="9"/>
            <rFont val="ＭＳ Ｐゴシック"/>
            <family val="3"/>
          </rPr>
          <t>環閉合: 40mm√S
既知点結合: 50mm√S</t>
        </r>
      </text>
    </comment>
  </commentList>
</comments>
</file>

<file path=xl/comments12.xml><?xml version="1.0" encoding="utf-8"?>
<comments xmlns="http://schemas.openxmlformats.org/spreadsheetml/2006/main">
  <authors>
    <author>作成者</author>
    <author>Surveytech</author>
  </authors>
  <commentList>
    <comment ref="BC27" authorId="0">
      <text>
        <r>
          <rPr>
            <b/>
            <sz val="9"/>
            <rFont val="ＭＳ Ｐゴシック"/>
            <family val="3"/>
          </rPr>
          <t>区分リスト</t>
        </r>
      </text>
    </comment>
    <comment ref="BC11" authorId="0">
      <text>
        <r>
          <rPr>
            <b/>
            <sz val="9"/>
            <rFont val="ＭＳ Ｐゴシック"/>
            <family val="3"/>
          </rPr>
          <t>細区分リストとのリンク</t>
        </r>
      </text>
    </comment>
    <comment ref="BD12" authorId="0">
      <text>
        <r>
          <rPr>
            <b/>
            <sz val="9"/>
            <rFont val="ＭＳ Ｐゴシック"/>
            <family val="3"/>
          </rPr>
          <t>細区分リスト</t>
        </r>
      </text>
    </comment>
    <comment ref="BD11" authorId="1">
      <text>
        <r>
          <rPr>
            <b/>
            <sz val="9"/>
            <rFont val="ＭＳ Ｐゴシック"/>
            <family val="3"/>
          </rPr>
          <t xml:space="preserve">区分
</t>
        </r>
      </text>
    </comment>
    <comment ref="Y5" authorId="0">
      <text>
        <r>
          <rPr>
            <b/>
            <sz val="9"/>
            <color indexed="10"/>
            <rFont val="ＭＳ Ｐゴシック"/>
            <family val="3"/>
          </rPr>
          <t xml:space="preserve"> </t>
        </r>
        <r>
          <rPr>
            <b/>
            <sz val="11"/>
            <color indexed="10"/>
            <rFont val="ＭＳ Ｐゴシック"/>
            <family val="3"/>
          </rPr>
          <t xml:space="preserve">区分を選択してください。
</t>
        </r>
        <r>
          <rPr>
            <b/>
            <sz val="10"/>
            <color indexed="10"/>
            <rFont val="ＭＳ Ｐゴシック"/>
            <family val="3"/>
          </rPr>
          <t xml:space="preserve"> </t>
        </r>
        <r>
          <rPr>
            <b/>
            <sz val="10"/>
            <rFont val="ＭＳ Ｐゴシック"/>
            <family val="3"/>
          </rPr>
          <t xml:space="preserve">
　中心線、用地幅杭、距離標
　法線、境界、海浜基準線          条件点、IP設置      </t>
        </r>
        <r>
          <rPr>
            <sz val="10"/>
            <rFont val="ＭＳ Ｐゴシック"/>
            <family val="3"/>
          </rPr>
          <t xml:space="preserve">
 　        20m未満  20m以上              30m未満  30m以上  
   平地   10mm     S/2000       平地   10mm     S/3000    
   山地   20mm     S/1000       山地   15mm     S/2000    
   ※Sは点間距離の計算値 </t>
        </r>
      </text>
    </comment>
    <comment ref="BF11" authorId="1">
      <text>
        <r>
          <t/>
        </r>
      </text>
    </comment>
    <comment ref="BG11" authorId="1">
      <text>
        <r>
          <t/>
        </r>
      </text>
    </comment>
  </commentList>
</comments>
</file>

<file path=xl/comments13.xml><?xml version="1.0" encoding="utf-8"?>
<comments xmlns="http://schemas.openxmlformats.org/spreadsheetml/2006/main">
  <authors>
    <author>作成者</author>
    <author>Surveytech</author>
  </authors>
  <commentList>
    <comment ref="BB18" authorId="0">
      <text>
        <r>
          <rPr>
            <b/>
            <sz val="9"/>
            <rFont val="ＭＳ Ｐゴシック"/>
            <family val="3"/>
          </rPr>
          <t>細区分リスト</t>
        </r>
      </text>
    </comment>
    <comment ref="BB12" authorId="0">
      <text>
        <r>
          <rPr>
            <b/>
            <sz val="9"/>
            <rFont val="ＭＳ Ｐゴシック"/>
            <family val="3"/>
          </rPr>
          <t>細区分リストとのリンク</t>
        </r>
      </text>
    </comment>
    <comment ref="BC12" authorId="0">
      <text>
        <r>
          <rPr>
            <b/>
            <sz val="9"/>
            <rFont val="ＭＳ Ｐゴシック"/>
            <family val="3"/>
          </rPr>
          <t>許容範囲リスト</t>
        </r>
      </text>
    </comment>
    <comment ref="BB14" authorId="0">
      <text>
        <r>
          <rPr>
            <b/>
            <sz val="9"/>
            <rFont val="ＭＳ Ｐゴシック"/>
            <family val="3"/>
          </rPr>
          <t>区分リスト</t>
        </r>
      </text>
    </comment>
    <comment ref="BC16" authorId="0">
      <text>
        <r>
          <rPr>
            <b/>
            <sz val="9"/>
            <rFont val="ＭＳ Ｐゴシック"/>
            <family val="3"/>
          </rPr>
          <t>区分の戻り値</t>
        </r>
      </text>
    </comment>
    <comment ref="AK12" authorId="1">
      <text>
        <r>
          <rPr>
            <b/>
            <sz val="9"/>
            <color indexed="10"/>
            <rFont val="ＭＳ Ｐゴシック"/>
            <family val="3"/>
          </rPr>
          <t>地形</t>
        </r>
        <r>
          <rPr>
            <b/>
            <sz val="9"/>
            <rFont val="ＭＳ Ｐゴシック"/>
            <family val="3"/>
          </rPr>
          <t>を選択すると
表示されます。</t>
        </r>
      </text>
    </comment>
    <comment ref="Y5" authorId="0">
      <text>
        <r>
          <rPr>
            <sz val="9"/>
            <rFont val="ＭＳ Ｐゴシック"/>
            <family val="3"/>
          </rPr>
          <t xml:space="preserve">   </t>
        </r>
        <r>
          <rPr>
            <sz val="9"/>
            <color indexed="10"/>
            <rFont val="ＭＳ Ｐゴシック"/>
            <family val="3"/>
          </rPr>
          <t xml:space="preserve">     </t>
        </r>
        <r>
          <rPr>
            <b/>
            <sz val="9"/>
            <color indexed="10"/>
            <rFont val="ＭＳ Ｐゴシック"/>
            <family val="3"/>
          </rPr>
          <t>区分を選択してください。</t>
        </r>
        <r>
          <rPr>
            <sz val="9"/>
            <rFont val="ＭＳ Ｐゴシック"/>
            <family val="3"/>
          </rPr>
          <t xml:space="preserve">
            距離            標高
 平地   L/500    20mm+50mm√L/100
 山地   L/300    50mm+150mm√L/100
 ※Lは中心杭等と末端見通杭の
    測定距離(m単位)</t>
        </r>
      </text>
    </comment>
    <comment ref="AS12" authorId="1">
      <text>
        <r>
          <rPr>
            <b/>
            <sz val="9"/>
            <rFont val="ＭＳ Ｐゴシック"/>
            <family val="3"/>
          </rPr>
          <t xml:space="preserve">         </t>
        </r>
        <r>
          <rPr>
            <b/>
            <sz val="9"/>
            <color indexed="10"/>
            <rFont val="ＭＳ Ｐゴシック"/>
            <family val="3"/>
          </rPr>
          <t xml:space="preserve"> 距離</t>
        </r>
        <r>
          <rPr>
            <b/>
            <sz val="9"/>
            <rFont val="ＭＳ Ｐゴシック"/>
            <family val="3"/>
          </rPr>
          <t xml:space="preserve">            </t>
        </r>
        <r>
          <rPr>
            <b/>
            <sz val="9"/>
            <color indexed="10"/>
            <rFont val="ＭＳ Ｐゴシック"/>
            <family val="3"/>
          </rPr>
          <t>標高</t>
        </r>
        <r>
          <rPr>
            <b/>
            <sz val="9"/>
            <rFont val="ＭＳ Ｐゴシック"/>
            <family val="3"/>
          </rPr>
          <t xml:space="preserve">
 平地   L/500    20mm+50mm√L/100
 山地   L/300    50mm+150mm√L/100
 ※Lは中心杭等と末端見通杭の
    測定距離(m単位)</t>
        </r>
      </text>
    </comment>
  </commentList>
</comments>
</file>

<file path=xl/comments14.xml><?xml version="1.0" encoding="utf-8"?>
<comments xmlns="http://schemas.openxmlformats.org/spreadsheetml/2006/main">
  <authors>
    <author>作成者</author>
    <author>Surveytech</author>
  </authors>
  <commentList>
    <comment ref="R12" authorId="0">
      <text>
        <r>
          <rPr>
            <b/>
            <sz val="9"/>
            <rFont val="ＭＳ Ｐゴシック"/>
            <family val="3"/>
          </rPr>
          <t xml:space="preserve"> 仮BMから他の仮BMまでの</t>
        </r>
        <r>
          <rPr>
            <b/>
            <sz val="9"/>
            <color indexed="10"/>
            <rFont val="ＭＳ Ｐゴシック"/>
            <family val="3"/>
          </rPr>
          <t>閉合差</t>
        </r>
        <r>
          <rPr>
            <b/>
            <sz val="9"/>
            <rFont val="ＭＳ Ｐゴシック"/>
            <family val="3"/>
          </rPr>
          <t xml:space="preserve">
 平地  25mm√S　
 山地  50mm√S
※Sは観測距離(片道、km)</t>
        </r>
      </text>
    </comment>
    <comment ref="AL12" authorId="0">
      <text>
        <r>
          <rPr>
            <b/>
            <sz val="9"/>
            <rFont val="ＭＳ Ｐゴシック"/>
            <family val="3"/>
          </rPr>
          <t xml:space="preserve"> 
 仮BMから他の仮BMまでの</t>
        </r>
        <r>
          <rPr>
            <b/>
            <sz val="9"/>
            <color indexed="10"/>
            <rFont val="ＭＳ Ｐゴシック"/>
            <family val="3"/>
          </rPr>
          <t>閉合差</t>
        </r>
        <r>
          <rPr>
            <b/>
            <sz val="9"/>
            <rFont val="ＭＳ Ｐゴシック"/>
            <family val="3"/>
          </rPr>
          <t xml:space="preserve">
 平地  25mm√S　
 山地  50mm√S
※Sは観測距離(片道、km) 
</t>
        </r>
      </text>
    </comment>
    <comment ref="BA12" authorId="0">
      <text>
        <r>
          <rPr>
            <b/>
            <sz val="9"/>
            <rFont val="ＭＳ Ｐゴシック"/>
            <family val="3"/>
          </rPr>
          <t>細区分リストとのリンク</t>
        </r>
      </text>
    </comment>
    <comment ref="BA21" authorId="0">
      <text>
        <r>
          <rPr>
            <b/>
            <sz val="9"/>
            <rFont val="ＭＳ Ｐゴシック"/>
            <family val="3"/>
          </rPr>
          <t>細区分リスト</t>
        </r>
      </text>
    </comment>
    <comment ref="BA13" authorId="0">
      <text>
        <r>
          <rPr>
            <b/>
            <sz val="9"/>
            <rFont val="ＭＳ Ｐゴシック"/>
            <family val="3"/>
          </rPr>
          <t>区分リスト
直接水準</t>
        </r>
      </text>
    </comment>
    <comment ref="X5" authorId="1">
      <text>
        <r>
          <rPr>
            <b/>
            <sz val="9"/>
            <color indexed="10"/>
            <rFont val="ＭＳ Ｐゴシック"/>
            <family val="3"/>
          </rPr>
          <t xml:space="preserve">       区分を選択してください。</t>
        </r>
        <r>
          <rPr>
            <b/>
            <sz val="9"/>
            <rFont val="ＭＳ Ｐゴシック"/>
            <family val="3"/>
          </rPr>
          <t xml:space="preserve">
             直接水準
        </t>
        </r>
        <r>
          <rPr>
            <sz val="9"/>
            <rFont val="ＭＳ Ｐゴシック"/>
            <family val="3"/>
          </rPr>
          <t>環閉合        既知点間</t>
        </r>
        <r>
          <rPr>
            <b/>
            <sz val="9"/>
            <rFont val="ＭＳ Ｐゴシック"/>
            <family val="3"/>
          </rPr>
          <t xml:space="preserve">
 </t>
        </r>
        <r>
          <rPr>
            <sz val="9"/>
            <rFont val="ＭＳ Ｐゴシック"/>
            <family val="3"/>
          </rPr>
          <t xml:space="preserve">平地   20mm√S      25mm√S  (4級水準)
 山地:   40mm√S      50mm√S  (簡易水準)
               </t>
        </r>
        <r>
          <rPr>
            <b/>
            <sz val="9"/>
            <rFont val="ＭＳ Ｐゴシック"/>
            <family val="3"/>
          </rPr>
          <t xml:space="preserve"> 間接水準
  </t>
        </r>
        <r>
          <rPr>
            <sz val="9"/>
            <rFont val="ＭＳ Ｐゴシック"/>
            <family val="3"/>
          </rPr>
          <t xml:space="preserve">        環閉合        既知点間
           40mm√S      50mm√S  (簡易水準)</t>
        </r>
      </text>
    </comment>
    <comment ref="BA10" authorId="1">
      <text>
        <r>
          <rPr>
            <b/>
            <sz val="9"/>
            <rFont val="ＭＳ Ｐゴシック"/>
            <family val="3"/>
          </rPr>
          <t>観測方法</t>
        </r>
      </text>
    </comment>
    <comment ref="BA18" authorId="0">
      <text>
        <r>
          <rPr>
            <b/>
            <sz val="9"/>
            <rFont val="ＭＳ Ｐゴシック"/>
            <family val="3"/>
          </rPr>
          <t>区分リスト
間接水準</t>
        </r>
      </text>
    </comment>
    <comment ref="BA9" authorId="1">
      <text>
        <r>
          <rPr>
            <sz val="9"/>
            <rFont val="ＭＳ Ｐゴシック"/>
            <family val="3"/>
          </rPr>
          <t xml:space="preserve">観測方法切り替え時の
摘要の表示Flag
</t>
        </r>
      </text>
    </comment>
    <comment ref="BA11" authorId="1">
      <text>
        <r>
          <rPr>
            <b/>
            <sz val="9"/>
            <rFont val="ＭＳ Ｐゴシック"/>
            <family val="3"/>
          </rPr>
          <t xml:space="preserve">地形 直接水準
</t>
        </r>
      </text>
    </comment>
    <comment ref="BA8" authorId="1">
      <text>
        <r>
          <rPr>
            <b/>
            <sz val="9"/>
            <rFont val="ＭＳ Ｐゴシック"/>
            <family val="3"/>
          </rPr>
          <t>摘要の表示Flag</t>
        </r>
      </text>
    </comment>
  </commentList>
</comments>
</file>

<file path=xl/comments2.xml><?xml version="1.0" encoding="utf-8"?>
<comments xmlns="http://schemas.openxmlformats.org/spreadsheetml/2006/main">
  <authors>
    <author>作成者</author>
    <author>Surveytech</author>
  </authors>
  <commentList>
    <comment ref="BF9" authorId="0">
      <text>
        <r>
          <rPr>
            <b/>
            <sz val="9"/>
            <rFont val="ＭＳ Ｐゴシック"/>
            <family val="3"/>
          </rPr>
          <t>等級リスト</t>
        </r>
      </text>
    </comment>
    <comment ref="BH9" authorId="0">
      <text>
        <r>
          <rPr>
            <b/>
            <sz val="9"/>
            <rFont val="ＭＳ Ｐゴシック"/>
            <family val="3"/>
          </rPr>
          <t>許容範囲リスト</t>
        </r>
      </text>
    </comment>
    <comment ref="BG15" authorId="1">
      <text>
        <r>
          <rPr>
            <b/>
            <sz val="9"/>
            <rFont val="ＭＳ Ｐゴシック"/>
            <family val="3"/>
          </rPr>
          <t xml:space="preserve">細区分のの取り値
</t>
        </r>
      </text>
    </comment>
    <comment ref="O28" authorId="1">
      <text>
        <r>
          <rPr>
            <b/>
            <sz val="9"/>
            <rFont val="ＭＳ Ｐゴシック"/>
            <family val="3"/>
          </rPr>
          <t xml:space="preserve">       </t>
        </r>
        <r>
          <rPr>
            <b/>
            <sz val="10"/>
            <rFont val="ＭＳ Ｐゴシック"/>
            <family val="3"/>
          </rPr>
          <t>書式</t>
        </r>
        <r>
          <rPr>
            <b/>
            <sz val="9"/>
            <rFont val="ＭＳ Ｐゴシック"/>
            <family val="3"/>
          </rPr>
          <t xml:space="preserve">
     1-00-00
   10-00-00
  100-00-00</t>
        </r>
      </text>
    </comment>
  </commentList>
</comments>
</file>

<file path=xl/comments3.xml><?xml version="1.0" encoding="utf-8"?>
<comments xmlns="http://schemas.openxmlformats.org/spreadsheetml/2006/main">
  <authors>
    <author>作成者</author>
    <author>Surveytech</author>
  </authors>
  <commentList>
    <comment ref="BB9" authorId="0">
      <text>
        <r>
          <rPr>
            <b/>
            <sz val="9"/>
            <rFont val="ＭＳ Ｐゴシック"/>
            <family val="3"/>
          </rPr>
          <t>等級リスト</t>
        </r>
      </text>
    </comment>
    <comment ref="BD9" authorId="0">
      <text>
        <r>
          <rPr>
            <b/>
            <sz val="9"/>
            <rFont val="ＭＳ Ｐゴシック"/>
            <family val="3"/>
          </rPr>
          <t>許容範囲リスト</t>
        </r>
      </text>
    </comment>
    <comment ref="BC15" authorId="1">
      <text>
        <r>
          <rPr>
            <b/>
            <sz val="9"/>
            <rFont val="ＭＳ Ｐゴシック"/>
            <family val="3"/>
          </rPr>
          <t xml:space="preserve">等級
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BC13" authorId="0">
      <text>
        <r>
          <rPr>
            <b/>
            <sz val="9"/>
            <rFont val="ＭＳ Ｐゴシック"/>
            <family val="3"/>
          </rPr>
          <t>等級リスト</t>
        </r>
      </text>
    </comment>
    <comment ref="BE18" authorId="0">
      <text>
        <r>
          <rPr>
            <b/>
            <sz val="9"/>
            <rFont val="ＭＳ Ｐゴシック"/>
            <family val="3"/>
          </rPr>
          <t xml:space="preserve">閉合差リスト
</t>
        </r>
      </text>
    </comment>
    <comment ref="BE19" authorId="0">
      <text>
        <r>
          <rPr>
            <b/>
            <sz val="9"/>
            <rFont val="ＭＳ Ｐゴシック"/>
            <family val="3"/>
          </rPr>
          <t>等級の戻り値</t>
        </r>
      </text>
    </comment>
  </commentList>
</comments>
</file>

<file path=xl/comments5.xml><?xml version="1.0" encoding="utf-8"?>
<comments xmlns="http://schemas.openxmlformats.org/spreadsheetml/2006/main">
  <authors>
    <author>作成者</author>
  </authors>
  <commentList>
    <comment ref="BG13" authorId="0">
      <text>
        <r>
          <rPr>
            <b/>
            <sz val="9"/>
            <rFont val="ＭＳ Ｐゴシック"/>
            <family val="3"/>
          </rPr>
          <t>等級リスト</t>
        </r>
      </text>
    </comment>
    <comment ref="BI18" authorId="0">
      <text>
        <r>
          <rPr>
            <b/>
            <sz val="9"/>
            <rFont val="ＭＳ Ｐゴシック"/>
            <family val="3"/>
          </rPr>
          <t xml:space="preserve">閉合差リスト
</t>
        </r>
      </text>
    </comment>
    <comment ref="BI19" authorId="0">
      <text>
        <r>
          <rPr>
            <b/>
            <sz val="9"/>
            <rFont val="ＭＳ Ｐゴシック"/>
            <family val="3"/>
          </rPr>
          <t>等級の戻り値</t>
        </r>
      </text>
    </comment>
  </commentList>
</comments>
</file>

<file path=xl/comments8.xml><?xml version="1.0" encoding="utf-8"?>
<comments xmlns="http://schemas.openxmlformats.org/spreadsheetml/2006/main">
  <authors>
    <author>Surveytech</author>
  </authors>
  <commentList>
    <comment ref="BF27" authorId="0">
      <text>
        <r>
          <rPr>
            <b/>
            <sz val="9"/>
            <rFont val="ＭＳ Ｐゴシック"/>
            <family val="3"/>
          </rPr>
          <t>閉合の許容範囲</t>
        </r>
      </text>
    </comment>
    <comment ref="BH27" authorId="0">
      <text>
        <r>
          <rPr>
            <b/>
            <sz val="9"/>
            <rFont val="ＭＳ Ｐゴシック"/>
            <family val="3"/>
          </rPr>
          <t>等級の戻り値</t>
        </r>
      </text>
    </comment>
    <comment ref="BF21" authorId="0">
      <text>
        <r>
          <rPr>
            <b/>
            <sz val="9"/>
            <rFont val="ＭＳ Ｐゴシック"/>
            <family val="3"/>
          </rPr>
          <t>細区分リスト</t>
        </r>
      </text>
    </comment>
  </commentList>
</comments>
</file>

<file path=xl/comments9.xml><?xml version="1.0" encoding="utf-8"?>
<comments xmlns="http://schemas.openxmlformats.org/spreadsheetml/2006/main">
  <authors>
    <author>Surveytech</author>
  </authors>
  <commentList>
    <comment ref="BD27" authorId="0">
      <text>
        <r>
          <rPr>
            <b/>
            <sz val="9"/>
            <rFont val="ＭＳ Ｐゴシック"/>
            <family val="3"/>
          </rPr>
          <t>閉合の許容範囲</t>
        </r>
      </text>
    </comment>
    <comment ref="BF27" authorId="0">
      <text>
        <r>
          <rPr>
            <b/>
            <sz val="9"/>
            <rFont val="ＭＳ Ｐゴシック"/>
            <family val="3"/>
          </rPr>
          <t>等級の戻り値</t>
        </r>
      </text>
    </comment>
    <comment ref="BD21" authorId="0">
      <text>
        <r>
          <rPr>
            <b/>
            <sz val="9"/>
            <rFont val="ＭＳ Ｐゴシック"/>
            <family val="3"/>
          </rPr>
          <t>細区分リスト</t>
        </r>
      </text>
    </comment>
  </commentList>
</comments>
</file>

<file path=xl/sharedStrings.xml><?xml version="1.0" encoding="utf-8"?>
<sst xmlns="http://schemas.openxmlformats.org/spreadsheetml/2006/main" count="1519" uniqueCount="709">
  <si>
    <t>※不足ページは下部のシートタグを右クリックし、「移動またはコピー」で複製を作成してください。</t>
  </si>
  <si>
    <t>※測量内容の右側枠（中心線測量など）をクリックすると、各々応用測量を選択できます。</t>
  </si>
  <si>
    <t>使用説明</t>
  </si>
  <si>
    <t>印刷は、各シートを印刷プレビューし、文字欠けなど無いことを確認して印刷してください。はみ出した場合は各々文字サイズ変更で対応願います。</t>
  </si>
  <si>
    <r>
      <t>この精度管理表エクセルデータはベース</t>
    </r>
    <r>
      <rPr>
        <b/>
        <sz val="11"/>
        <color indexed="10"/>
        <rFont val="ＭＳ Ｐゴシック"/>
        <family val="3"/>
      </rPr>
      <t>データとして保管</t>
    </r>
    <r>
      <rPr>
        <b/>
        <sz val="11"/>
        <rFont val="ＭＳ Ｐゴシック"/>
        <family val="3"/>
      </rPr>
      <t>しておき、個別保存は</t>
    </r>
    <r>
      <rPr>
        <b/>
        <sz val="11"/>
        <color indexed="10"/>
        <rFont val="ＭＳ Ｐゴシック"/>
        <family val="3"/>
      </rPr>
      <t>業務ごとに保存</t>
    </r>
    <r>
      <rPr>
        <b/>
        <sz val="11"/>
        <rFont val="ＭＳ Ｐゴシック"/>
        <family val="3"/>
      </rPr>
      <t>してください。</t>
    </r>
  </si>
  <si>
    <r>
      <t>業務情報欄に業務情報を記載すれば全精度管理表シートに反映されます。ただし、</t>
    </r>
    <r>
      <rPr>
        <b/>
        <sz val="11"/>
        <color indexed="10"/>
        <rFont val="ＭＳ Ｐゴシック"/>
        <family val="3"/>
      </rPr>
      <t>「作業量」については各々手入力</t>
    </r>
    <r>
      <rPr>
        <b/>
        <sz val="11"/>
        <rFont val="ＭＳ Ｐゴシック"/>
        <family val="3"/>
      </rPr>
      <t>にて入力してください。</t>
    </r>
  </si>
  <si>
    <t>本エクセルデータの著作は有限会社サーベイテックにあります。内容の変更改変は自由ですが、無断配布は厳禁とします。</t>
  </si>
  <si>
    <t>本エクセルデータの使用による、あらゆる損害につきまして、有限会社サーベイテックはその責任を負いません。使用者の責任にて運用してください。</t>
  </si>
  <si>
    <t>免責について</t>
  </si>
  <si>
    <t>各制限値の計算は小数点以下３桁未満切り捨てにしています。変更する場合は使用者の責任にて随意変更してください。</t>
  </si>
  <si>
    <t>曽木亜　説戸</t>
  </si>
  <si>
    <t>※観測路線図は画像データを貼り付けます。ただし、出力時はモノクロ出力となります。</t>
  </si>
  <si>
    <r>
      <t>複数枚必要な場合は、</t>
    </r>
    <r>
      <rPr>
        <b/>
        <sz val="11"/>
        <color indexed="10"/>
        <rFont val="ＭＳ Ｐゴシック"/>
        <family val="3"/>
      </rPr>
      <t>シートのタグを右クリックして「移動またはコピー」</t>
    </r>
    <r>
      <rPr>
        <b/>
        <sz val="11"/>
        <rFont val="ＭＳ Ｐゴシック"/>
        <family val="3"/>
      </rPr>
      <t>にて複写してください。シート名は「業務情報」以外随意変更可能です。</t>
    </r>
  </si>
  <si>
    <t>※データ入力項目は、別のエクセルデータからペーストできます。（セルの結合はしていません。）</t>
  </si>
  <si>
    <t>※精度区分は「地形」右側の枠で選択できます。</t>
  </si>
  <si>
    <t>印刷は、すべてモノクロとなります。</t>
  </si>
  <si>
    <t>本エクセルデータは無償です。</t>
  </si>
  <si>
    <t>※等級は「等級」右枠をクリックすると、選択できます。</t>
  </si>
  <si>
    <t>※等級は「等級」右枠をクリックすると、選択できます。「仮ＢＭ設置測量」もあります。</t>
  </si>
  <si>
    <t>同一事業所内での使い回しは自己責任にて可としますが、インターネット上で公開するのは厳禁とします。</t>
  </si>
  <si>
    <r>
      <t>精度管理表シートの</t>
    </r>
    <r>
      <rPr>
        <b/>
        <sz val="11"/>
        <color indexed="48"/>
        <rFont val="ＭＳ Ｐゴシック"/>
        <family val="3"/>
      </rPr>
      <t>「&gt;&gt;」</t>
    </r>
    <r>
      <rPr>
        <b/>
        <sz val="11"/>
        <rFont val="ＭＳ Ｐゴシック"/>
        <family val="3"/>
      </rPr>
      <t>をクリックすると、そこにジャンプします。単にジャンプするだけなので、シートタグを選択してもかまいません。</t>
    </r>
  </si>
  <si>
    <t>海 浜 測 量</t>
  </si>
  <si>
    <t>中心、用地、距離標</t>
  </si>
  <si>
    <t>条件点、IP設置、中心線、用地幅杭設置、距離標設置、法線、海浜、境界点間測量精度管理表　　　</t>
  </si>
  <si>
    <t>距    離(km)</t>
  </si>
  <si>
    <r>
      <t>海 浜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線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測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量</t>
    </r>
  </si>
  <si>
    <t>閉 合 差(m)</t>
  </si>
  <si>
    <t xml:space="preserve">環閉合                    10mm√S   </t>
  </si>
  <si>
    <t xml:space="preserve">既知点結合              50       </t>
  </si>
  <si>
    <t>3 級 水 準 測 量</t>
  </si>
  <si>
    <t>m</t>
  </si>
  <si>
    <t>結合多角路線</t>
  </si>
  <si>
    <t>測量内容を選択してください</t>
  </si>
  <si>
    <t>地形を選択してください</t>
  </si>
  <si>
    <t>点　検　者</t>
  </si>
  <si>
    <t xml:space="preserve">既知点結合              15       </t>
  </si>
  <si>
    <t>1 級 水 準 測 量</t>
  </si>
  <si>
    <t>2 級 水 準 測 量</t>
  </si>
  <si>
    <t>3 級 水 準 測 量</t>
  </si>
  <si>
    <t>4 級 水 準 測 量</t>
  </si>
  <si>
    <t>水 準 基 標 設 置 測 量</t>
  </si>
  <si>
    <t>1級～4級水準測量,水準基標設置測量精度管理表</t>
  </si>
  <si>
    <t>用 地 実 測 図 原 図</t>
  </si>
  <si>
    <t>摘  要</t>
  </si>
  <si>
    <r>
      <t>※</t>
    </r>
    <r>
      <rPr>
        <sz val="10"/>
        <color indexed="8"/>
        <rFont val="ＭＳ Ｐゴシック"/>
        <family val="3"/>
      </rPr>
      <t>網かけは印刷されません。(白黒印刷)</t>
    </r>
  </si>
  <si>
    <t>作 業 名</t>
  </si>
  <si>
    <t>地    区</t>
  </si>
  <si>
    <t>作 業 機 関</t>
  </si>
  <si>
    <t>点 検 者</t>
  </si>
  <si>
    <t>路 線 名</t>
  </si>
  <si>
    <t>期    間</t>
  </si>
  <si>
    <t>主任技術者</t>
  </si>
  <si>
    <t>そ の 他</t>
  </si>
  <si>
    <t>測    点</t>
  </si>
  <si>
    <t>水  平  位  置  (距  離)</t>
  </si>
  <si>
    <t>摘      要</t>
  </si>
  <si>
    <t xml:space="preserve">計  算  値 </t>
  </si>
  <si>
    <t>測  定  値</t>
  </si>
  <si>
    <t>較    差</t>
  </si>
  <si>
    <t>許 容 範 囲</t>
  </si>
  <si>
    <t>平地</t>
  </si>
  <si>
    <t>山地</t>
  </si>
  <si>
    <t>標高</t>
  </si>
  <si>
    <t>摘    要</t>
  </si>
  <si>
    <t>較差</t>
  </si>
  <si>
    <t xml:space="preserve"> 距離:</t>
  </si>
  <si>
    <t>左側</t>
  </si>
  <si>
    <t>右側</t>
  </si>
  <si>
    <t xml:space="preserve"> 標高:</t>
  </si>
  <si>
    <t>手簿、計算簿の誤りの有無</t>
  </si>
  <si>
    <t>使用与点の異常の有無</t>
  </si>
  <si>
    <t>路 線 番 号</t>
  </si>
  <si>
    <t>距      離</t>
  </si>
  <si>
    <t xml:space="preserve"> 主要機器の名称番号</t>
  </si>
  <si>
    <t>手簿,計算簿の誤りの有無</t>
  </si>
  <si>
    <t xml:space="preserve"> 再測率％</t>
  </si>
  <si>
    <t>地    区    名</t>
  </si>
  <si>
    <t>縮        尺</t>
  </si>
  <si>
    <t>主 任 技 術 者</t>
  </si>
  <si>
    <t>点    検    者</t>
  </si>
  <si>
    <t>図面又は図面番号</t>
  </si>
  <si>
    <t>誤記</t>
  </si>
  <si>
    <t>脱落</t>
  </si>
  <si>
    <t>項目</t>
  </si>
  <si>
    <t>等級</t>
  </si>
  <si>
    <t>環閉合</t>
  </si>
  <si>
    <t>区分</t>
  </si>
  <si>
    <t>既知点結合</t>
  </si>
  <si>
    <t>目     的</t>
  </si>
  <si>
    <t>観測者</t>
  </si>
  <si>
    <t>観測者毎
標準偏差</t>
  </si>
  <si>
    <t>正の回数</t>
  </si>
  <si>
    <t>負の回数</t>
  </si>
  <si>
    <t>零の回数</t>
  </si>
  <si>
    <t>正の総和</t>
  </si>
  <si>
    <t>負の総和</t>
  </si>
  <si>
    <t>主要機器名称番号</t>
  </si>
  <si>
    <t>観    測    路    線    図</t>
  </si>
  <si>
    <t>点検値</t>
  </si>
  <si>
    <t>採用値</t>
  </si>
  <si>
    <t>永久標識種別等</t>
  </si>
  <si>
    <t xml:space="preserve"> 手簿,計算簿の誤りの有無</t>
  </si>
  <si>
    <t>簡 易 水 準 測 量 精 度 管 理 表</t>
  </si>
  <si>
    <t>作 業 名 又 は
地     区     名</t>
  </si>
  <si>
    <t>作  業  量</t>
  </si>
  <si>
    <t>閉 合 差</t>
  </si>
  <si>
    <t>閉合差の
許容範囲</t>
  </si>
  <si>
    <t>閉合差の
許容範囲</t>
  </si>
  <si>
    <r>
      <t>使 用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機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器</t>
    </r>
  </si>
  <si>
    <t>備
考</t>
  </si>
  <si>
    <t xml:space="preserve">世界測地系 </t>
  </si>
  <si>
    <t>横 断 測 量</t>
  </si>
  <si>
    <t>縦 断 測 量</t>
  </si>
  <si>
    <t>詳 細 縦 断 測 量</t>
  </si>
  <si>
    <t>定 期 縦 断 測 量</t>
  </si>
  <si>
    <t>を選択</t>
  </si>
  <si>
    <t>中 心 線 測 量</t>
  </si>
  <si>
    <t>距 離 標 設 置 測 量</t>
  </si>
  <si>
    <t>法 線 測 量</t>
  </si>
  <si>
    <t>区分を選択してください</t>
  </si>
  <si>
    <t>詳 細 横 断 測 量</t>
  </si>
  <si>
    <t>定 期 横 断 測 量</t>
  </si>
  <si>
    <t>等級を選択してください</t>
  </si>
  <si>
    <t>往復差から求めた全線の1km当たりの標準偏差</t>
  </si>
  <si>
    <t>単位重量当たりの観測の標準偏差</t>
  </si>
  <si>
    <t>印</t>
  </si>
  <si>
    <t>計画機関</t>
  </si>
  <si>
    <t>作業機関</t>
  </si>
  <si>
    <t>条件、IP</t>
  </si>
  <si>
    <t>法線、境界</t>
  </si>
  <si>
    <t>境 界 点 間 測 量</t>
  </si>
  <si>
    <t>作 業 量</t>
  </si>
  <si>
    <t xml:space="preserve">  観     測     者</t>
  </si>
  <si>
    <t>特 記 事 項</t>
  </si>
  <si>
    <t>環 番 号</t>
  </si>
  <si>
    <t>制  限</t>
  </si>
  <si>
    <t>鎖 部 数</t>
  </si>
  <si>
    <t>再 測 率</t>
  </si>
  <si>
    <t>点  検  測  量</t>
  </si>
  <si>
    <t>区  間</t>
  </si>
  <si>
    <t>距  離</t>
  </si>
  <si>
    <t>較  差</t>
  </si>
  <si>
    <t xml:space="preserve">環閉合                    5mm√S    </t>
  </si>
  <si>
    <t xml:space="preserve">既知点結合              15mm√S    </t>
  </si>
  <si>
    <t xml:space="preserve">環閉合                    10mm√S    </t>
  </si>
  <si>
    <t>地 区 名</t>
  </si>
  <si>
    <t>期     間</t>
  </si>
  <si>
    <t>作業機関</t>
  </si>
  <si>
    <t xml:space="preserve"> 路 線 名</t>
  </si>
  <si>
    <t>路線番号</t>
  </si>
  <si>
    <t>測点番号</t>
  </si>
  <si>
    <t>路線長
(km)</t>
  </si>
  <si>
    <t>内角数</t>
  </si>
  <si>
    <t>辺数</t>
  </si>
  <si>
    <t>点検計算</t>
  </si>
  <si>
    <t>偏心</t>
  </si>
  <si>
    <t>再測数</t>
  </si>
  <si>
    <t>厳密網平均計算</t>
  </si>
  <si>
    <t>点      検      測      量</t>
  </si>
  <si>
    <t>水平位置</t>
  </si>
  <si>
    <t>距               離</t>
  </si>
  <si>
    <t>水        平        角</t>
  </si>
  <si>
    <t>鉛        直        角</t>
  </si>
  <si>
    <t>閉合差</t>
  </si>
  <si>
    <t>点番号</t>
  </si>
  <si>
    <t>水平</t>
  </si>
  <si>
    <t>点検値</t>
  </si>
  <si>
    <t>結合多角路線</t>
  </si>
  <si>
    <t>閉合多角路線</t>
  </si>
  <si>
    <t>TS  1級~4級基準点測量精度管理表</t>
  </si>
  <si>
    <t>作業機関名</t>
  </si>
  <si>
    <t>摘     要</t>
  </si>
  <si>
    <t>新点位置の標準偏差  ( m )</t>
  </si>
  <si>
    <t>許容範囲</t>
  </si>
  <si>
    <t>較 差</t>
  </si>
  <si>
    <t>永久標識の種別等</t>
  </si>
  <si>
    <t>種別</t>
  </si>
  <si>
    <t>数量</t>
  </si>
  <si>
    <t>埋設様式</t>
  </si>
  <si>
    <t>特  記  事  項</t>
  </si>
  <si>
    <t>基線解析辺</t>
  </si>
  <si>
    <t>仮定三次元網平均</t>
  </si>
  <si>
    <t>新点位置の標準偏差</t>
  </si>
  <si>
    <t>点検測量</t>
  </si>
  <si>
    <t>測点名</t>
  </si>
  <si>
    <t>辺長
(斜距離)</t>
  </si>
  <si>
    <t>斜距離の偏差</t>
  </si>
  <si>
    <t>新点名</t>
  </si>
  <si>
    <t>自：</t>
  </si>
  <si>
    <t>至：</t>
  </si>
  <si>
    <t xml:space="preserve">  自：</t>
  </si>
  <si>
    <t xml:space="preserve">  至：</t>
  </si>
  <si>
    <t>GPS 1~4級基準点測量精度管理表</t>
  </si>
  <si>
    <t>4 級 基 準 点 測 量</t>
  </si>
  <si>
    <t>仮定三次元網平均計算</t>
  </si>
  <si>
    <t>方位角,斜距離,楕円体比高</t>
  </si>
  <si>
    <t>1 級 基 準 点 測 量</t>
  </si>
  <si>
    <t>2 級 基 準 点 測 量</t>
  </si>
  <si>
    <t>3 級 基 準 点 測 量</t>
  </si>
  <si>
    <t>三次元網平均計算</t>
  </si>
  <si>
    <t>ΔX 又は 方位角</t>
  </si>
  <si>
    <t>ΔY 又は 斜距離</t>
  </si>
  <si>
    <t>ΔZ 又は楕円体比高</t>
  </si>
  <si>
    <t>使用する値を選択してください</t>
  </si>
  <si>
    <t>偏差</t>
  </si>
  <si>
    <t>基線ベクトルの各成分 (ΔX,ΔY,ΔZ)</t>
  </si>
  <si>
    <t>点検値
(dX,dY,dZ)</t>
  </si>
  <si>
    <t>採用値
(dX,dY,dZ)</t>
  </si>
  <si>
    <t>較差
(dN,dE,dU)
(dX,dY,dZ)</t>
  </si>
  <si>
    <t>標準偏差</t>
  </si>
  <si>
    <t>単位重量
の標準偏差</t>
  </si>
  <si>
    <t>高低角の
標準偏差</t>
  </si>
  <si>
    <t>再測率</t>
  </si>
  <si>
    <t>単位重量の標準検査</t>
  </si>
  <si>
    <t>高低角の標準偏差</t>
  </si>
  <si>
    <t>単路線</t>
  </si>
  <si>
    <t>1 級 基 準 点 測 量</t>
  </si>
  <si>
    <t>2 級 基 準 点 測 量</t>
  </si>
  <si>
    <t>3 級 基 準 点 測 量</t>
  </si>
  <si>
    <t>4 級 基 準 点 測 量</t>
  </si>
  <si>
    <t>単路線</t>
  </si>
  <si>
    <t>単路線</t>
  </si>
  <si>
    <t>単路線,結合多角</t>
  </si>
  <si>
    <t>cmΣS/√N</t>
  </si>
  <si>
    <r>
      <t>cm</t>
    </r>
    <r>
      <rPr>
        <sz val="11"/>
        <rFont val="ＭＳ Ｐゴシック"/>
        <family val="3"/>
      </rPr>
      <t>√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>Σ</t>
    </r>
    <r>
      <rPr>
        <sz val="11"/>
        <rFont val="ＭＳ Ｐゴシック"/>
        <family val="3"/>
      </rPr>
      <t>S</t>
    </r>
  </si>
  <si>
    <t xml:space="preserve">閉合多角 </t>
  </si>
  <si>
    <r>
      <t>水平　　cm</t>
    </r>
    <r>
      <rPr>
        <sz val="11"/>
        <rFont val="ＭＳ Ｐゴシック"/>
        <family val="3"/>
      </rPr>
      <t>+</t>
    </r>
  </si>
  <si>
    <r>
      <t>cm</t>
    </r>
    <r>
      <rPr>
        <sz val="11"/>
        <rFont val="ＭＳ Ｐゴシック"/>
        <family val="3"/>
      </rPr>
      <t>√NΣS</t>
    </r>
  </si>
  <si>
    <r>
      <t xml:space="preserve">標高 </t>
    </r>
    <r>
      <rPr>
        <sz val="11"/>
        <rFont val="ＭＳ Ｐゴシック"/>
        <family val="3"/>
      </rPr>
      <t>20cm+cmΣS/√N</t>
    </r>
  </si>
  <si>
    <t>10-10-10</t>
  </si>
  <si>
    <t>結合多角・単路線</t>
  </si>
  <si>
    <t>結合多角</t>
  </si>
  <si>
    <t>30-30-03</t>
  </si>
  <si>
    <t>30</t>
  </si>
  <si>
    <t>30-30</t>
  </si>
  <si>
    <t>40</t>
  </si>
  <si>
    <t>40-40</t>
  </si>
  <si>
    <t>50-50-50</t>
  </si>
  <si>
    <t>50-50-05</t>
  </si>
  <si>
    <t>50-50</t>
  </si>
  <si>
    <t>6-06-06</t>
  </si>
  <si>
    <t>60-06</t>
  </si>
  <si>
    <t>70-07</t>
  </si>
  <si>
    <t>8-08-08</t>
  </si>
  <si>
    <t>80-08</t>
  </si>
  <si>
    <t>9-09-09</t>
  </si>
  <si>
    <t>90-09</t>
  </si>
  <si>
    <t>観 測 者</t>
  </si>
  <si>
    <t>期      間</t>
  </si>
  <si>
    <t>目      的</t>
  </si>
  <si>
    <t>-40-40-04</t>
  </si>
  <si>
    <t>6-06-00</t>
  </si>
  <si>
    <t>8-08-00</t>
  </si>
  <si>
    <t>9-09-00</t>
  </si>
  <si>
    <t>-20-20-20</t>
  </si>
  <si>
    <t>-20-21-20</t>
  </si>
  <si>
    <t>-40-41-40</t>
  </si>
  <si>
    <t>10-10-40</t>
  </si>
  <si>
    <t>6-59-00</t>
  </si>
  <si>
    <t>7-01-07</t>
  </si>
  <si>
    <t>50</t>
  </si>
  <si>
    <t>60</t>
  </si>
  <si>
    <t>70</t>
  </si>
  <si>
    <t>80</t>
  </si>
  <si>
    <t>90</t>
  </si>
  <si>
    <t>10-00-00</t>
  </si>
  <si>
    <t>20-00-00</t>
  </si>
  <si>
    <t>20-20-00</t>
  </si>
  <si>
    <t>30-30-30</t>
  </si>
  <si>
    <t>11-1110</t>
  </si>
  <si>
    <t>No.1</t>
  </si>
  <si>
    <t>No.2</t>
  </si>
  <si>
    <t>NO.3</t>
  </si>
  <si>
    <t>No.4</t>
  </si>
  <si>
    <t>No.5</t>
  </si>
  <si>
    <t>等級を選択</t>
  </si>
  <si>
    <t>距離を入力</t>
  </si>
  <si>
    <t>辺数を入力</t>
  </si>
  <si>
    <t>区分を選択</t>
  </si>
  <si>
    <t>摘要を選択</t>
  </si>
  <si>
    <t>等級の選択</t>
  </si>
  <si>
    <t>距離の入力</t>
  </si>
  <si>
    <t>摘要の選択</t>
  </si>
  <si>
    <t xml:space="preserve">環閉合                    2mm√S    </t>
  </si>
  <si>
    <t>T=0</t>
  </si>
  <si>
    <t>V=0</t>
  </si>
  <si>
    <t>S=0</t>
  </si>
  <si>
    <t>単路線</t>
  </si>
  <si>
    <r>
      <t xml:space="preserve">標高 </t>
    </r>
    <r>
      <rPr>
        <sz val="11"/>
        <rFont val="ＭＳ Ｐゴシック"/>
        <family val="3"/>
      </rPr>
      <t>20cm+cmΣS/√N</t>
    </r>
  </si>
  <si>
    <r>
      <t>cm</t>
    </r>
    <r>
      <rPr>
        <sz val="11"/>
        <rFont val="ＭＳ Ｐゴシック"/>
        <family val="3"/>
      </rPr>
      <t>√NΣS</t>
    </r>
  </si>
  <si>
    <t xml:space="preserve">閉合多角 </t>
  </si>
  <si>
    <r>
      <t>cm</t>
    </r>
    <r>
      <rPr>
        <sz val="11"/>
        <rFont val="ＭＳ Ｐゴシック"/>
        <family val="3"/>
      </rPr>
      <t>√</t>
    </r>
    <r>
      <rPr>
        <sz val="11"/>
        <rFont val="ＭＳ Ｐゴシック"/>
        <family val="3"/>
      </rPr>
      <t>N</t>
    </r>
    <r>
      <rPr>
        <sz val="11"/>
        <rFont val="ＭＳ Ｐゴシック"/>
        <family val="3"/>
      </rPr>
      <t>Σ</t>
    </r>
    <r>
      <rPr>
        <sz val="11"/>
        <rFont val="ＭＳ Ｐゴシック"/>
        <family val="3"/>
      </rPr>
      <t>S</t>
    </r>
  </si>
  <si>
    <t>cmΣS/√N</t>
  </si>
  <si>
    <t>m</t>
  </si>
  <si>
    <t>m</t>
  </si>
  <si>
    <t>"</t>
  </si>
  <si>
    <t>m</t>
  </si>
  <si>
    <t>"</t>
  </si>
  <si>
    <t>°</t>
  </si>
  <si>
    <t>′</t>
  </si>
  <si>
    <t>km</t>
  </si>
  <si>
    <t>m</t>
  </si>
  <si>
    <t>路線長</t>
  </si>
  <si>
    <t>°</t>
  </si>
  <si>
    <t>S=0</t>
  </si>
  <si>
    <t>T=0</t>
  </si>
  <si>
    <t>V=0</t>
  </si>
  <si>
    <t>往復差から求めた全線の1km当たりの標準偏差</t>
  </si>
  <si>
    <t>km</t>
  </si>
  <si>
    <t>mm</t>
  </si>
  <si>
    <t>mm</t>
  </si>
  <si>
    <t>平地 10mm</t>
  </si>
  <si>
    <t>平地 S/3000</t>
  </si>
  <si>
    <t>山地 15mm</t>
  </si>
  <si>
    <t>山地 S/2000</t>
  </si>
  <si>
    <t>山地 20mm</t>
  </si>
  <si>
    <t>平地 S/2000</t>
  </si>
  <si>
    <t>山地 S/1000</t>
  </si>
  <si>
    <t>水準測量とは、既知点に基づき、新点である水準点の標高を定める作業をいう。</t>
  </si>
  <si>
    <t>水準測量は既知点の種類、既知点間の路線長、観測の精度等に応じて、1級水</t>
  </si>
  <si>
    <t>準測量、2級水準測量、3級水準測量、4級水準測量および簡易水準測量に区分</t>
  </si>
  <si>
    <t>する。</t>
  </si>
  <si>
    <t>高さを表すための基準となる面はジオイド面である。ジオイド面を厳密に求めること</t>
  </si>
  <si>
    <t>はほとんど不可能であるため、海面の長期間観測（験潮）によって平均海面の位</t>
  </si>
  <si>
    <t>置を定め、これをジオイド面と見なして高さの基準としている。</t>
  </si>
  <si>
    <t>我が国では明治6年から明治12年の間、東京湾で行われた験潮結果に基づいて</t>
  </si>
  <si>
    <t>東京湾平均海面の高さが決められた。</t>
  </si>
  <si>
    <t>日本水準原点は同海面上24.4140mの高さにあって、我が国における基本測量お</t>
  </si>
  <si>
    <t>よび公共測量における全国共通の標高の基準となる点である。</t>
  </si>
  <si>
    <t>高さを求めるための高低差を観測する方法は、2地点間の高低差をレベルと標尺</t>
  </si>
  <si>
    <t>を用いて、直接観測する「直接水準測量」と2地点間の高低差をＴＳ等を用いて角</t>
  </si>
  <si>
    <t>度と距離を観測し、間接的に求める「間接水準測量」がある。</t>
  </si>
  <si>
    <t>測量の目的に応じて行う各級の水準測量は次のとおりである。</t>
  </si>
  <si>
    <t>　　　1）1級水準測量</t>
  </si>
  <si>
    <t>　　　　　・地盤変動調査</t>
  </si>
  <si>
    <t>　　　　　・トンネルの施工</t>
  </si>
  <si>
    <t>　　　　　・ダムの施工</t>
  </si>
  <si>
    <t>　　　　以上　特に高精度を必要とする場合に実施する。</t>
  </si>
  <si>
    <t>　　　2）2級水準測量</t>
  </si>
  <si>
    <t>　　　　　・比較的変動量の大きい地盤変動調査</t>
  </si>
  <si>
    <t>　　　　　・河川測量における水準基標測量</t>
  </si>
  <si>
    <t>　　　3）3級水準測量</t>
  </si>
  <si>
    <t>　　　　　・路線測量における平地部の仮ＢＭ設置測量</t>
  </si>
  <si>
    <t>　　　　　・河川測量における平地部の定期縦断測量</t>
  </si>
  <si>
    <t>　　　4）4級水準測量</t>
  </si>
  <si>
    <t>　　　　　・路線測量における山地部の仮ＢＭ設置測量</t>
  </si>
  <si>
    <t>　　　　　・路線測量における平地部の縦断測量</t>
  </si>
  <si>
    <t>　　　　　・路線測量のうち、詳細測量における平地部の横断測量</t>
  </si>
  <si>
    <t>　　　　　・河川測量における山地部の定期縦断測量</t>
  </si>
  <si>
    <t>　　　5）簡易水準測量</t>
  </si>
  <si>
    <t>　　　　　・路線測量における山地部の縦断測量</t>
  </si>
  <si>
    <t>　　　　　・路線測量のうち、詳細測量における山地部の横断測量</t>
  </si>
  <si>
    <t>　　　　　・空中写真測量における標定点測量</t>
  </si>
  <si>
    <t>　　　　　・現地で等高線または標高点を補備する地形補備測量</t>
  </si>
  <si>
    <r>
      <t>図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郭</t>
    </r>
    <r>
      <rPr>
        <sz val="11"/>
        <rFont val="ＭＳ Ｐゴシック"/>
        <family val="3"/>
      </rPr>
      <t xml:space="preserve">   ・   </t>
    </r>
    <r>
      <rPr>
        <sz val="11"/>
        <rFont val="ＭＳ Ｐゴシック"/>
        <family val="3"/>
      </rPr>
      <t>方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眼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寸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法</t>
    </r>
  </si>
  <si>
    <t>整                           飾</t>
  </si>
  <si>
    <r>
      <t xml:space="preserve">高 </t>
    </r>
    <r>
      <rPr>
        <sz val="11"/>
        <rFont val="ＭＳ Ｐゴシック"/>
        <family val="3"/>
      </rPr>
      <t xml:space="preserve">                           </t>
    </r>
    <r>
      <rPr>
        <sz val="11"/>
        <rFont val="ＭＳ Ｐゴシック"/>
        <family val="3"/>
      </rPr>
      <t>さ</t>
    </r>
  </si>
  <si>
    <r>
      <t xml:space="preserve">底 </t>
    </r>
    <r>
      <rPr>
        <sz val="11"/>
        <rFont val="ＭＳ Ｐゴシック"/>
        <family val="3"/>
      </rPr>
      <t xml:space="preserve">                          </t>
    </r>
    <r>
      <rPr>
        <sz val="11"/>
        <rFont val="ＭＳ Ｐゴシック"/>
        <family val="3"/>
      </rPr>
      <t>辺</t>
    </r>
  </si>
  <si>
    <r>
      <t xml:space="preserve">所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有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      </t>
    </r>
    <r>
      <rPr>
        <sz val="11"/>
        <rFont val="ＭＳ Ｐゴシック"/>
        <family val="3"/>
      </rPr>
      <t>等</t>
    </r>
  </si>
  <si>
    <r>
      <t xml:space="preserve">地 </t>
    </r>
    <r>
      <rPr>
        <sz val="11"/>
        <rFont val="ＭＳ Ｐゴシック"/>
        <family val="3"/>
      </rPr>
      <t xml:space="preserve">                          </t>
    </r>
    <r>
      <rPr>
        <sz val="11"/>
        <rFont val="ＭＳ Ｐゴシック"/>
        <family val="3"/>
      </rPr>
      <t>番</t>
    </r>
  </si>
  <si>
    <r>
      <t xml:space="preserve">辺 </t>
    </r>
    <r>
      <rPr>
        <sz val="11"/>
        <rFont val="ＭＳ Ｐゴシック"/>
        <family val="3"/>
      </rPr>
      <t xml:space="preserve">                          </t>
    </r>
    <r>
      <rPr>
        <sz val="11"/>
        <rFont val="ＭＳ Ｐゴシック"/>
        <family val="3"/>
      </rPr>
      <t>長</t>
    </r>
  </si>
  <si>
    <r>
      <t xml:space="preserve">境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界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線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行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政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界</t>
    </r>
  </si>
  <si>
    <r>
      <t xml:space="preserve">境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界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点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名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称</t>
    </r>
  </si>
  <si>
    <r>
      <t xml:space="preserve">境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界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点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位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置</t>
    </r>
  </si>
  <si>
    <r>
      <t xml:space="preserve">中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心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点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名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称</t>
    </r>
  </si>
  <si>
    <r>
      <t xml:space="preserve">中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心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点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位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置</t>
    </r>
  </si>
  <si>
    <r>
      <t xml:space="preserve">基 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準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点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名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称</t>
    </r>
  </si>
  <si>
    <r>
      <t>基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準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点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位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置</t>
    </r>
  </si>
  <si>
    <t>土    地     の     所    在</t>
  </si>
  <si>
    <r>
      <t xml:space="preserve">公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共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用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地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名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称</t>
    </r>
  </si>
  <si>
    <t>図  郭   ・   方  眼  寸  法</t>
  </si>
  <si>
    <t>接                           合</t>
  </si>
  <si>
    <t>整                           飾</t>
  </si>
  <si>
    <r>
      <t xml:space="preserve">構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囲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・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小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物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体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等</t>
    </r>
  </si>
  <si>
    <r>
      <t>*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恒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久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的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地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物</t>
    </r>
  </si>
  <si>
    <r>
      <t>*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家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屋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番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号</t>
    </r>
  </si>
  <si>
    <r>
      <t>*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所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有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等</t>
    </r>
  </si>
  <si>
    <t>図                  示</t>
  </si>
  <si>
    <t>建
物</t>
  </si>
  <si>
    <t>地
番</t>
  </si>
  <si>
    <t>公           簿</t>
  </si>
  <si>
    <r>
      <t>*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引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照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デ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ー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タ</t>
    </r>
  </si>
  <si>
    <t xml:space="preserve">   </t>
  </si>
  <si>
    <t xml:space="preserve">指摘  </t>
  </si>
  <si>
    <t>測量内容</t>
  </si>
  <si>
    <t>地形</t>
  </si>
  <si>
    <t>作業量</t>
  </si>
  <si>
    <t>縦断測量、詳細縦断測量、定期縦断測量精度管理表　　　　</t>
  </si>
  <si>
    <t>業務情報</t>
  </si>
  <si>
    <t>地 形</t>
  </si>
  <si>
    <t>横断、詳細横断、定期横断、海浜横断測量精度管理表　　　</t>
  </si>
  <si>
    <t xml:space="preserve"> </t>
  </si>
  <si>
    <t xml:space="preserve"> </t>
  </si>
  <si>
    <t xml:space="preserve">条 件 点 測 量 </t>
  </si>
  <si>
    <t>用 地 幅 杭 設 置 測 量</t>
  </si>
  <si>
    <t>I P 設 置 測 量</t>
  </si>
  <si>
    <t xml:space="preserve">   </t>
  </si>
  <si>
    <r>
      <t xml:space="preserve">接 </t>
    </r>
    <r>
      <rPr>
        <sz val="11"/>
        <rFont val="ＭＳ Ｐゴシック"/>
        <family val="3"/>
      </rPr>
      <t xml:space="preserve">                          </t>
    </r>
    <r>
      <rPr>
        <sz val="11"/>
        <rFont val="ＭＳ Ｐゴシック"/>
        <family val="3"/>
      </rPr>
      <t>合</t>
    </r>
  </si>
  <si>
    <t>用地平面図精度管理表</t>
  </si>
  <si>
    <t>用 地 平 面 図 精 度 管 理 表</t>
  </si>
  <si>
    <r>
      <t>地</t>
    </r>
  </si>
  <si>
    <t>現           況</t>
  </si>
  <si>
    <t>用地実測図原図精度管理表</t>
  </si>
  <si>
    <t>用 地 実 測 図 原 図 精 度 管 理 表</t>
  </si>
  <si>
    <t>1級～4級水準測量,水準基標設置測量精度管理表</t>
  </si>
  <si>
    <r>
      <t>仮 B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M 設 置 測 量</t>
    </r>
  </si>
  <si>
    <t>3級～4級水準測量,仮BM設置測量精度管理表</t>
  </si>
  <si>
    <t>GPS 1~4級基準点測量精度管理表</t>
  </si>
  <si>
    <t>TS  1級~4級基準点測量精度管理表</t>
  </si>
  <si>
    <t xml:space="preserve">簡易水準測量精度管理表                 </t>
  </si>
  <si>
    <t>&gt;&gt;</t>
  </si>
  <si>
    <t>目</t>
  </si>
  <si>
    <t>km</t>
  </si>
  <si>
    <t>標尺</t>
  </si>
  <si>
    <t>金属標</t>
  </si>
  <si>
    <t>○点</t>
  </si>
  <si>
    <t>標                                   高</t>
  </si>
  <si>
    <t>水    平    位    置    (  距    離  )</t>
  </si>
  <si>
    <t>検  測  値</t>
  </si>
  <si>
    <t>制    限</t>
  </si>
  <si>
    <t>測 点 番 号</t>
  </si>
  <si>
    <t>路 線 長</t>
  </si>
  <si>
    <t>水  平  位  置</t>
  </si>
  <si>
    <t>点    検    計    算</t>
  </si>
  <si>
    <t>標          高</t>
  </si>
  <si>
    <t>偏  心</t>
  </si>
  <si>
    <t>厳 密 網 平 均 計 算</t>
  </si>
  <si>
    <t>点 検 値</t>
  </si>
  <si>
    <t>採 用 値</t>
  </si>
  <si>
    <t>較   差</t>
  </si>
  <si>
    <t>点  検  値</t>
  </si>
  <si>
    <t>採  用  値</t>
  </si>
  <si>
    <t>種    別</t>
  </si>
  <si>
    <t>種  別</t>
  </si>
  <si>
    <t>路線番号</t>
  </si>
  <si>
    <t>点  検  計  算</t>
  </si>
  <si>
    <t>水 平 位 置</t>
  </si>
  <si>
    <t>標           高</t>
  </si>
  <si>
    <t>新 点 位 置 の 標 準 偏 差</t>
  </si>
  <si>
    <t>点 番 号</t>
  </si>
  <si>
    <t>水  平</t>
  </si>
  <si>
    <t>標  高</t>
  </si>
  <si>
    <t>測    点    名</t>
  </si>
  <si>
    <t>辺    長
(斜距離)</t>
  </si>
  <si>
    <t>基    線    解    析    辺</t>
  </si>
  <si>
    <t>仮    定    三    次    元    網    平    均</t>
  </si>
  <si>
    <t>三 次 元 網 平 均 計 算</t>
  </si>
  <si>
    <t>新 点 名</t>
  </si>
  <si>
    <t>標      高</t>
  </si>
  <si>
    <t>点        検        測        量</t>
  </si>
  <si>
    <t>点  検  値
( dX , dY , dZ )</t>
  </si>
  <si>
    <t>採  用  値
( dX , dY , dZ )</t>
  </si>
  <si>
    <t>較    差
( dN , dE , dU )
( dX , dY , dZ )</t>
  </si>
  <si>
    <t>許  容  範  囲</t>
  </si>
  <si>
    <t>標準
偏差</t>
  </si>
  <si>
    <t>許容
範囲</t>
  </si>
  <si>
    <t>数  量</t>
  </si>
  <si>
    <t>数 量</t>
  </si>
  <si>
    <t>永久標識の種別等</t>
  </si>
  <si>
    <r>
      <t>土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地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    </t>
    </r>
    <r>
      <rPr>
        <sz val="11"/>
        <rFont val="ＭＳ Ｐゴシック"/>
        <family val="3"/>
      </rPr>
      <t xml:space="preserve">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在</t>
    </r>
  </si>
  <si>
    <t>面
積
計
算
書</t>
  </si>
  <si>
    <r>
      <t xml:space="preserve">所 </t>
    </r>
    <r>
      <rPr>
        <sz val="11"/>
        <rFont val="ＭＳ Ｐゴシック"/>
        <family val="3"/>
      </rPr>
      <t xml:space="preserve">   </t>
    </r>
    <r>
      <rPr>
        <sz val="11"/>
        <rFont val="ＭＳ Ｐゴシック"/>
        <family val="3"/>
      </rPr>
      <t>有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者</t>
    </r>
    <r>
      <rPr>
        <sz val="11"/>
        <rFont val="ＭＳ Ｐゴシック"/>
        <family val="3"/>
      </rPr>
      <t xml:space="preserve">    </t>
    </r>
    <r>
      <rPr>
        <sz val="11"/>
        <rFont val="ＭＳ Ｐゴシック"/>
        <family val="3"/>
      </rPr>
      <t>等</t>
    </r>
  </si>
  <si>
    <r>
      <t xml:space="preserve">地 </t>
    </r>
    <r>
      <rPr>
        <sz val="11"/>
        <rFont val="ＭＳ Ｐゴシック"/>
        <family val="3"/>
      </rPr>
      <t xml:space="preserve">                 </t>
    </r>
    <r>
      <rPr>
        <sz val="11"/>
        <rFont val="ＭＳ Ｐゴシック"/>
        <family val="3"/>
      </rPr>
      <t>目</t>
    </r>
  </si>
  <si>
    <r>
      <t xml:space="preserve">地 </t>
    </r>
    <r>
      <rPr>
        <sz val="11"/>
        <rFont val="ＭＳ Ｐゴシック"/>
        <family val="3"/>
      </rPr>
      <t xml:space="preserve">                 </t>
    </r>
    <r>
      <rPr>
        <sz val="11"/>
        <rFont val="ＭＳ Ｐゴシック"/>
        <family val="3"/>
      </rPr>
      <t>番</t>
    </r>
  </si>
  <si>
    <r>
      <t xml:space="preserve">底 </t>
    </r>
    <r>
      <rPr>
        <sz val="11"/>
        <rFont val="ＭＳ Ｐゴシック"/>
        <family val="3"/>
      </rPr>
      <t xml:space="preserve">                 </t>
    </r>
    <r>
      <rPr>
        <sz val="11"/>
        <rFont val="ＭＳ Ｐゴシック"/>
        <family val="3"/>
      </rPr>
      <t>辺</t>
    </r>
  </si>
  <si>
    <r>
      <t xml:space="preserve">高 </t>
    </r>
    <r>
      <rPr>
        <sz val="11"/>
        <rFont val="ＭＳ Ｐゴシック"/>
        <family val="3"/>
      </rPr>
      <t xml:space="preserve">                  </t>
    </r>
    <r>
      <rPr>
        <sz val="11"/>
        <rFont val="ＭＳ Ｐゴシック"/>
        <family val="3"/>
      </rPr>
      <t>さ</t>
    </r>
  </si>
  <si>
    <r>
      <t xml:space="preserve">面 </t>
    </r>
    <r>
      <rPr>
        <sz val="11"/>
        <rFont val="ＭＳ Ｐゴシック"/>
        <family val="3"/>
      </rPr>
      <t xml:space="preserve">                 </t>
    </r>
    <r>
      <rPr>
        <sz val="11"/>
        <rFont val="ＭＳ Ｐゴシック"/>
        <family val="3"/>
      </rPr>
      <t>積</t>
    </r>
  </si>
  <si>
    <t>1/250</t>
  </si>
  <si>
    <t>公             簿</t>
  </si>
  <si>
    <r>
      <t xml:space="preserve">現           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況</t>
    </r>
  </si>
  <si>
    <r>
      <t>*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種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類</t>
    </r>
  </si>
  <si>
    <r>
      <t>*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構</t>
    </r>
    <r>
      <rPr>
        <sz val="11"/>
        <rFont val="ＭＳ Ｐゴシック"/>
        <family val="3"/>
      </rPr>
      <t xml:space="preserve">        </t>
    </r>
    <r>
      <rPr>
        <sz val="11"/>
        <rFont val="ＭＳ Ｐゴシック"/>
        <family val="3"/>
      </rPr>
      <t>造</t>
    </r>
  </si>
  <si>
    <r>
      <t>*</t>
    </r>
    <r>
      <rPr>
        <sz val="11"/>
        <rFont val="ＭＳ Ｐゴシック"/>
        <family val="3"/>
      </rPr>
      <t xml:space="preserve">         </t>
    </r>
    <r>
      <rPr>
        <sz val="11"/>
        <rFont val="ＭＳ Ｐゴシック"/>
        <family val="3"/>
      </rPr>
      <t>床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面</t>
    </r>
    <r>
      <rPr>
        <sz val="11"/>
        <rFont val="ＭＳ Ｐゴシック"/>
        <family val="3"/>
      </rPr>
      <t xml:space="preserve">  </t>
    </r>
    <r>
      <rPr>
        <sz val="11"/>
        <rFont val="ＭＳ Ｐゴシック"/>
        <family val="3"/>
      </rPr>
      <t>積</t>
    </r>
  </si>
  <si>
    <t>精度管理表シート</t>
  </si>
  <si>
    <t>簡    易    水    準    測    量</t>
  </si>
  <si>
    <t>用   地   平   面   図</t>
  </si>
  <si>
    <t>縦     断     測     量</t>
  </si>
  <si>
    <t>横     断     測     量</t>
  </si>
  <si>
    <t>TS   1～4級基準点測量　(その1)</t>
  </si>
  <si>
    <r>
      <t xml:space="preserve">TS  </t>
    </r>
    <r>
      <rPr>
        <sz val="11"/>
        <rFont val="ＭＳ Ｐゴシック"/>
        <family val="3"/>
      </rPr>
      <t xml:space="preserve"> 1～</t>
    </r>
    <r>
      <rPr>
        <sz val="11"/>
        <rFont val="ＭＳ Ｐゴシック"/>
        <family val="3"/>
      </rPr>
      <t>4級基準点測量　(その2)</t>
    </r>
  </si>
  <si>
    <t xml:space="preserve">GPS      1～4級基準点測量 </t>
  </si>
  <si>
    <t>路線, 河川, 海浜, 用地</t>
  </si>
  <si>
    <r>
      <t>3～4級水準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,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仮BM設置測量</t>
    </r>
    <r>
      <rPr>
        <sz val="11"/>
        <rFont val="ＭＳ Ｐゴシック"/>
        <family val="3"/>
      </rPr>
      <t xml:space="preserve">    </t>
    </r>
  </si>
  <si>
    <r>
      <t>1～4級水準 ,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水準基標設置測量</t>
    </r>
  </si>
  <si>
    <t>km</t>
  </si>
  <si>
    <t>偏    差</t>
  </si>
  <si>
    <t>偏    差</t>
  </si>
  <si>
    <t>斜  距  離  の  偏  差</t>
  </si>
  <si>
    <t>許容範囲(mm)</t>
  </si>
  <si>
    <r>
      <t>摘要</t>
    </r>
    <r>
      <rPr>
        <sz val="11"/>
        <rFont val="ＭＳ Ｐゴシック"/>
        <family val="3"/>
      </rPr>
      <t>の変更は</t>
    </r>
    <r>
      <rPr>
        <sz val="11"/>
        <color indexed="10"/>
        <rFont val="ＭＳ Ｐゴシック"/>
        <family val="3"/>
      </rPr>
      <t>摘要欄</t>
    </r>
    <r>
      <rPr>
        <sz val="11"/>
        <rFont val="ＭＳ Ｐゴシック"/>
        <family val="3"/>
      </rPr>
      <t>のセルをクリックしてリストから選択してください。</t>
    </r>
  </si>
  <si>
    <t>業 務 情 報 (全シートに反映されます)</t>
  </si>
  <si>
    <t>測量機器</t>
  </si>
  <si>
    <t>TS  基準点測量</t>
  </si>
  <si>
    <t>GPS  基準点測量</t>
  </si>
  <si>
    <t>水準測量</t>
  </si>
  <si>
    <t>測器</t>
  </si>
  <si>
    <t>機器</t>
  </si>
  <si>
    <r>
      <t xml:space="preserve">&lt;！注意事項！&gt;
</t>
    </r>
    <r>
      <rPr>
        <sz val="10"/>
        <color indexed="10"/>
        <rFont val="ＭＳ Ｐゴシック"/>
        <family val="3"/>
      </rPr>
      <t>数値</t>
    </r>
    <r>
      <rPr>
        <sz val="10"/>
        <rFont val="ＭＳ Ｐゴシック"/>
        <family val="3"/>
      </rPr>
      <t>を入力したまま</t>
    </r>
    <r>
      <rPr>
        <sz val="10"/>
        <color indexed="10"/>
        <rFont val="ＭＳ Ｐゴシック"/>
        <family val="3"/>
      </rPr>
      <t>等級</t>
    </r>
    <r>
      <rPr>
        <sz val="10"/>
        <rFont val="ＭＳ Ｐゴシック"/>
        <family val="3"/>
      </rPr>
      <t>を変更した
場合は</t>
    </r>
    <r>
      <rPr>
        <sz val="10"/>
        <color indexed="10"/>
        <rFont val="ＭＳ Ｐゴシック"/>
        <family val="3"/>
      </rPr>
      <t>摘要</t>
    </r>
    <r>
      <rPr>
        <sz val="10"/>
        <rFont val="ＭＳ Ｐゴシック"/>
        <family val="3"/>
      </rPr>
      <t xml:space="preserve">を選択し直してください。
</t>
    </r>
    <r>
      <rPr>
        <sz val="10"/>
        <color indexed="10"/>
        <rFont val="ＭＳ Ｐゴシック"/>
        <family val="3"/>
      </rPr>
      <t>摘要</t>
    </r>
    <r>
      <rPr>
        <sz val="10"/>
        <rFont val="ＭＳ Ｐゴシック"/>
        <family val="3"/>
      </rPr>
      <t>の変更は</t>
    </r>
    <r>
      <rPr>
        <sz val="10"/>
        <color indexed="10"/>
        <rFont val="ＭＳ Ｐゴシック"/>
        <family val="3"/>
      </rPr>
      <t>摘要欄のセル</t>
    </r>
    <r>
      <rPr>
        <sz val="10"/>
        <rFont val="ＭＳ Ｐゴシック"/>
        <family val="3"/>
      </rPr>
      <t>を
    クリックしてリストから選択してください。</t>
    </r>
  </si>
  <si>
    <r>
      <t xml:space="preserve">&lt;！注意事項！&gt;
</t>
    </r>
    <r>
      <rPr>
        <sz val="10"/>
        <color indexed="10"/>
        <rFont val="ＭＳ Ｐゴシック"/>
        <family val="3"/>
      </rPr>
      <t>数値</t>
    </r>
    <r>
      <rPr>
        <sz val="10"/>
        <rFont val="ＭＳ Ｐゴシック"/>
        <family val="3"/>
      </rPr>
      <t>を入力したまま</t>
    </r>
    <r>
      <rPr>
        <sz val="10"/>
        <color indexed="10"/>
        <rFont val="ＭＳ Ｐゴシック"/>
        <family val="3"/>
      </rPr>
      <t>等級</t>
    </r>
    <r>
      <rPr>
        <sz val="10"/>
        <rFont val="ＭＳ Ｐゴシック"/>
        <family val="3"/>
      </rPr>
      <t>を変更した
場合は</t>
    </r>
    <r>
      <rPr>
        <sz val="10"/>
        <color indexed="10"/>
        <rFont val="ＭＳ Ｐゴシック"/>
        <family val="3"/>
      </rPr>
      <t>摘要</t>
    </r>
    <r>
      <rPr>
        <sz val="10"/>
        <rFont val="ＭＳ Ｐゴシック"/>
        <family val="3"/>
      </rPr>
      <t xml:space="preserve">を選択し直してください。
</t>
    </r>
    <r>
      <rPr>
        <sz val="10"/>
        <color indexed="10"/>
        <rFont val="ＭＳ Ｐゴシック"/>
        <family val="3"/>
      </rPr>
      <t>摘要</t>
    </r>
    <r>
      <rPr>
        <sz val="10"/>
        <rFont val="ＭＳ Ｐゴシック"/>
        <family val="3"/>
      </rPr>
      <t>の変更は</t>
    </r>
    <r>
      <rPr>
        <sz val="10"/>
        <color indexed="10"/>
        <rFont val="ＭＳ Ｐゴシック"/>
        <family val="3"/>
      </rPr>
      <t>摘要欄のセル</t>
    </r>
    <r>
      <rPr>
        <sz val="10"/>
        <rFont val="ＭＳ Ｐゴシック"/>
        <family val="3"/>
      </rPr>
      <t>を
    クリックしてリストから選択してください。</t>
    </r>
  </si>
  <si>
    <r>
      <t>&lt;！</t>
    </r>
    <r>
      <rPr>
        <sz val="9"/>
        <color indexed="10"/>
        <rFont val="ＭＳ Ｐゴシック"/>
        <family val="3"/>
      </rPr>
      <t>注意事項</t>
    </r>
    <r>
      <rPr>
        <sz val="9"/>
        <color indexed="8"/>
        <rFont val="ＭＳ Ｐゴシック"/>
        <family val="3"/>
      </rPr>
      <t xml:space="preserve">！&gt;
</t>
    </r>
    <r>
      <rPr>
        <sz val="9"/>
        <color indexed="10"/>
        <rFont val="ＭＳ Ｐゴシック"/>
        <family val="3"/>
      </rPr>
      <t>数値</t>
    </r>
    <r>
      <rPr>
        <sz val="9"/>
        <color indexed="8"/>
        <rFont val="ＭＳ Ｐゴシック"/>
        <family val="3"/>
      </rPr>
      <t>を入力したままで</t>
    </r>
    <r>
      <rPr>
        <sz val="9"/>
        <color indexed="10"/>
        <rFont val="ＭＳ Ｐゴシック"/>
        <family val="3"/>
      </rPr>
      <t>測量内容</t>
    </r>
    <r>
      <rPr>
        <sz val="9"/>
        <color indexed="8"/>
        <rFont val="ＭＳ Ｐゴシック"/>
        <family val="3"/>
      </rPr>
      <t>を変更
  した場合は</t>
    </r>
    <r>
      <rPr>
        <sz val="9"/>
        <color indexed="10"/>
        <rFont val="ＭＳ Ｐゴシック"/>
        <family val="3"/>
      </rPr>
      <t>地形</t>
    </r>
    <r>
      <rPr>
        <sz val="9"/>
        <color indexed="8"/>
        <rFont val="ＭＳ Ｐゴシック"/>
        <family val="3"/>
      </rPr>
      <t>を選択し直してください。
摘要の変更は摘要欄のセルを
クリックしてリストから選択してください。</t>
    </r>
  </si>
  <si>
    <t>観測方法</t>
  </si>
  <si>
    <t>観測方法を選択してください</t>
  </si>
  <si>
    <t>直接水準</t>
  </si>
  <si>
    <t>間接水準</t>
  </si>
  <si>
    <t>平地  環閉合</t>
  </si>
  <si>
    <t>山地  環閉合</t>
  </si>
  <si>
    <t>平地  既知点</t>
  </si>
  <si>
    <t>山地  既知点</t>
  </si>
  <si>
    <t>既知点間</t>
  </si>
  <si>
    <t>閉 合 差(mm)</t>
  </si>
  <si>
    <t>距    離 (km)</t>
  </si>
  <si>
    <t>管理技術者</t>
  </si>
  <si>
    <t>気圧計 アネロイド式</t>
  </si>
  <si>
    <t>4級基準点　3点</t>
  </si>
  <si>
    <t>-</t>
  </si>
  <si>
    <t>測量鋲</t>
  </si>
  <si>
    <t>地上</t>
  </si>
  <si>
    <t>記載値は別紙副表より転記</t>
  </si>
  <si>
    <t>無</t>
  </si>
  <si>
    <t>様式第１－１４</t>
  </si>
  <si>
    <t>細部測量・地形補備測量・地図編集・数値編集</t>
  </si>
  <si>
    <t>現地補測・補測編集・数値地形図データ作成</t>
  </si>
  <si>
    <t>精度管理表</t>
  </si>
  <si>
    <t>作業名又は地区名</t>
  </si>
  <si>
    <t>図名又は図面番号</t>
  </si>
  <si>
    <t>縮　　尺</t>
  </si>
  <si>
    <t>作　業　量</t>
  </si>
  <si>
    <t>作　業　期　間</t>
  </si>
  <si>
    <t>作業機関名</t>
  </si>
  <si>
    <t>社内検査者</t>
  </si>
  <si>
    <t>項　　目</t>
  </si>
  <si>
    <t>項　　　目</t>
  </si>
  <si>
    <t>境界等(11**)</t>
  </si>
  <si>
    <t>道路(210*)</t>
  </si>
  <si>
    <t>道　　路　　施　　設</t>
  </si>
  <si>
    <t>鉄道(23**)</t>
  </si>
  <si>
    <t>鉄道　施設</t>
  </si>
  <si>
    <t>建物(30**)</t>
  </si>
  <si>
    <t>建物記号(35**)</t>
  </si>
  <si>
    <t>公共施設</t>
  </si>
  <si>
    <t>種類</t>
  </si>
  <si>
    <t>形状</t>
  </si>
  <si>
    <t>道路記号・道幅</t>
  </si>
  <si>
    <t>記号及び軌道幅</t>
  </si>
  <si>
    <t>形状</t>
  </si>
  <si>
    <t>位置</t>
  </si>
  <si>
    <t>そ　　の　　他　　の　　小　　物　　体</t>
  </si>
  <si>
    <t>水　　部　　構　　造　　物</t>
  </si>
  <si>
    <t>形状</t>
  </si>
  <si>
    <t>形状</t>
  </si>
  <si>
    <t>種類</t>
  </si>
  <si>
    <t>種類</t>
  </si>
  <si>
    <t>形状</t>
  </si>
  <si>
    <t>種類</t>
  </si>
  <si>
    <t>構　囲</t>
  </si>
  <si>
    <t>法　面</t>
  </si>
  <si>
    <t>水　部</t>
  </si>
  <si>
    <t>諸地(621*)</t>
  </si>
  <si>
    <t>場地622*,3*</t>
  </si>
  <si>
    <t>植生(63**)</t>
  </si>
  <si>
    <t>等高線(71**)</t>
  </si>
  <si>
    <t>変形地(72**)</t>
  </si>
  <si>
    <t>基準点(73**)</t>
  </si>
  <si>
    <t>区域界形状</t>
  </si>
  <si>
    <t>記号の種類</t>
  </si>
  <si>
    <t>植生界等形状</t>
  </si>
  <si>
    <t>植生記号の種類</t>
  </si>
  <si>
    <t>記号の位置</t>
  </si>
  <si>
    <t>数値</t>
  </si>
  <si>
    <t>位置・種類</t>
  </si>
  <si>
    <t>行政名</t>
  </si>
  <si>
    <t>居住地名</t>
  </si>
  <si>
    <t>交通施設</t>
  </si>
  <si>
    <t>建物等</t>
  </si>
  <si>
    <t>小物体</t>
  </si>
  <si>
    <t>水部等</t>
  </si>
  <si>
    <t>土地利用</t>
  </si>
  <si>
    <t>地形等</t>
  </si>
  <si>
    <t>※　整　飾　等</t>
  </si>
  <si>
    <t>接　合</t>
  </si>
  <si>
    <t>図郭及び方眼寸法</t>
  </si>
  <si>
    <t>座標値等</t>
  </si>
  <si>
    <t>概見図行政区画図</t>
  </si>
  <si>
    <t>方位</t>
  </si>
  <si>
    <t>図歴等</t>
  </si>
  <si>
    <t>その他</t>
  </si>
  <si>
    <t>注</t>
  </si>
  <si>
    <t xml:space="preserve"> 注</t>
  </si>
  <si>
    <t>１．各工程作業ごとに、該当する項目を選んで図面単位に作成する。該当しない項目欄には斜線で抹消する。</t>
  </si>
  <si>
    <t>２．各項目の脱落、誤記等は点検紙に基づいて集計し、その個数を記載する。</t>
  </si>
  <si>
    <t>３．※印欄は、地形補備測量及び現地補測作業の場合記載しない。</t>
  </si>
  <si>
    <t>４．(****)は、取得分類コードを示す。</t>
  </si>
  <si>
    <t>橋         (220*)</t>
  </si>
  <si>
    <t>階段・ﾄﾝﾈﾙ (221*)</t>
  </si>
  <si>
    <t>構造物     (222*)</t>
  </si>
  <si>
    <t>側溝・並木 (223*)</t>
  </si>
  <si>
    <t>道路標識等 (224*)</t>
  </si>
  <si>
    <t>付属物     (225*,6)</t>
  </si>
  <si>
    <t>橋・ﾄﾝﾈﾙ   (240*,1*)</t>
  </si>
  <si>
    <t>雪覆い等   (240*)</t>
  </si>
  <si>
    <t>建物付属物         (34**)</t>
  </si>
  <si>
    <t>消火栓       (421*)</t>
  </si>
  <si>
    <t>記念碑等     (420*)</t>
  </si>
  <si>
    <t>噴水・井戸   (422*)</t>
  </si>
  <si>
    <t>ﾀﾝｸ・高塔    (423*)</t>
  </si>
  <si>
    <t>灯台         (424*)</t>
  </si>
  <si>
    <t>観測所       (425*)</t>
  </si>
  <si>
    <t>輸送管       (426*)</t>
  </si>
  <si>
    <t>形状         (51**)</t>
  </si>
  <si>
    <t>桟橋         (520*)</t>
  </si>
  <si>
    <t>護岸         (521*)</t>
  </si>
  <si>
    <t>滝・水門     (522*)</t>
  </si>
  <si>
    <t>水制         (523*)</t>
  </si>
  <si>
    <t>流水方向     (524*)</t>
  </si>
  <si>
    <t>距離標       (525*)</t>
  </si>
  <si>
    <t>人工斜面     (610*)</t>
  </si>
  <si>
    <t>被覆         (611*)</t>
  </si>
  <si>
    <t>法面保護     (612*)</t>
  </si>
  <si>
    <t>さく         (613*)</t>
  </si>
  <si>
    <t>へい         (614*)</t>
  </si>
  <si>
    <t>形状　　　　     (41**)</t>
  </si>
  <si>
    <t>記</t>
  </si>
  <si>
    <t>㎡</t>
  </si>
  <si>
    <t>＼</t>
  </si>
  <si>
    <t>＼</t>
  </si>
  <si>
    <t>NO1</t>
  </si>
  <si>
    <t>NO4</t>
  </si>
  <si>
    <t>北条</t>
  </si>
  <si>
    <t>※副表参照</t>
  </si>
  <si>
    <t>F4</t>
  </si>
  <si>
    <t>F5</t>
  </si>
  <si>
    <t>FC1</t>
  </si>
  <si>
    <t>NO4</t>
  </si>
  <si>
    <t>NO5</t>
  </si>
  <si>
    <t>NO6</t>
  </si>
  <si>
    <t>NO7</t>
  </si>
  <si>
    <t>NO8</t>
  </si>
  <si>
    <t>NO9</t>
  </si>
  <si>
    <t>NO10</t>
  </si>
  <si>
    <t>既知点間往復</t>
  </si>
  <si>
    <t>1/500</t>
  </si>
  <si>
    <t>1.0km</t>
  </si>
  <si>
    <t>HT51～KBM2～HT121</t>
  </si>
  <si>
    <t>HT51～KBM1～GT12</t>
  </si>
  <si>
    <t>GT121～KBM3～F11</t>
  </si>
  <si>
    <t>地上埋設(既設)</t>
  </si>
  <si>
    <t>測量鋲</t>
  </si>
  <si>
    <t>6.19mm</t>
  </si>
  <si>
    <t>1.75mm</t>
  </si>
  <si>
    <t>001-159</t>
  </si>
  <si>
    <t>001-161</t>
  </si>
  <si>
    <t>2.0km</t>
  </si>
  <si>
    <t>※既知点間点検</t>
  </si>
  <si>
    <t>-0</t>
  </si>
  <si>
    <t>+0</t>
  </si>
  <si>
    <t>F1</t>
  </si>
  <si>
    <t>F2</t>
  </si>
  <si>
    <t>F3</t>
  </si>
  <si>
    <t>F6</t>
  </si>
  <si>
    <t>F7</t>
  </si>
  <si>
    <t>F8</t>
  </si>
  <si>
    <t>現     況     測     量</t>
  </si>
  <si>
    <t>&gt;&gt;</t>
  </si>
  <si>
    <t>HT62～HT12</t>
  </si>
  <si>
    <t>HT12～G4</t>
  </si>
  <si>
    <t>HT62～G4</t>
  </si>
  <si>
    <t>GT26～GT42</t>
  </si>
  <si>
    <t>GT42～GT45</t>
  </si>
  <si>
    <t>GT45～GT47</t>
  </si>
  <si>
    <t>GT42～GT47</t>
  </si>
  <si>
    <t>S=0</t>
  </si>
  <si>
    <t>T=0</t>
  </si>
  <si>
    <t>V=0</t>
  </si>
  <si>
    <t>0.13km</t>
  </si>
  <si>
    <t>0.13km</t>
  </si>
  <si>
    <t>NO3+16.65</t>
  </si>
  <si>
    <t>NO4+7</t>
  </si>
  <si>
    <t>NO4+11.2</t>
  </si>
  <si>
    <t>MC1</t>
  </si>
  <si>
    <t>NO7+5.1</t>
  </si>
  <si>
    <t>EC1</t>
  </si>
  <si>
    <t>NO7+14.15</t>
  </si>
  <si>
    <t>NO10+11.2</t>
  </si>
  <si>
    <t>TB7-TB-4(R</t>
  </si>
  <si>
    <t>TB7-TB-4(L</t>
  </si>
  <si>
    <t>4級基準点　12点</t>
  </si>
  <si>
    <t>平成２６年度
○○測量業務</t>
  </si>
  <si>
    <t>道路整備計画</t>
  </si>
  <si>
    <t>○○市　○○地区</t>
  </si>
  <si>
    <t>兎位瑠度　逓津宇</t>
  </si>
  <si>
    <t>時尾次　名太</t>
  </si>
  <si>
    <t>加亜瑠　番辺留比</t>
  </si>
  <si>
    <t>自 平成26年10月10日
至 平成27年3月15日</t>
  </si>
  <si>
    <t>（有）サーベイテック</t>
  </si>
  <si>
    <t>Trimble4000SE No.206265</t>
  </si>
  <si>
    <t>Trimble4000SE No.31415927</t>
  </si>
  <si>
    <t>Trimble TRM16741.00 No.206265</t>
  </si>
  <si>
    <t>Trimble TRM16741.00 No.31415927</t>
  </si>
  <si>
    <t>Trimble4000SE No.6378137</t>
  </si>
  <si>
    <t>Trimble TRM16741.00 No.6378137</t>
  </si>
  <si>
    <t>Leica TCRA1105Plus No.206265</t>
  </si>
  <si>
    <t>WILD NA3003A No.206265</t>
  </si>
  <si>
    <t>SOKKIA PL1 NO.31415927</t>
  </si>
  <si>
    <t>NEDO GTL4C NO.206265</t>
  </si>
  <si>
    <t>SOKKIA BGS40A NO.206265</t>
  </si>
  <si>
    <t>国道1024号</t>
  </si>
  <si>
    <t>真鍮標</t>
  </si>
  <si>
    <t>○○地方整備局
○○事務所</t>
  </si>
  <si>
    <t>各シートへ手入力</t>
  </si>
</sst>
</file>

<file path=xl/styles.xml><?xml version="1.0" encoding="utf-8"?>
<styleSheet xmlns="http://schemas.openxmlformats.org/spreadsheetml/2006/main">
  <numFmts count="4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点&quot;"/>
    <numFmt numFmtId="177" formatCode="0\&quot;"/>
    <numFmt numFmtId="178" formatCode="0&quot;mm√S&quot;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&quot;km&quot;"/>
    <numFmt numFmtId="185" formatCode="0.0000"/>
    <numFmt numFmtId="186" formatCode="\+0.000;\-0.000;0.000"/>
    <numFmt numFmtId="187" formatCode="[h]&quot;-&quot;mm&quot;-&quot;ss;\-[h]&quot;-&quot;mm&quot;-&quot;ss"/>
    <numFmt numFmtId="188" formatCode="0.0"/>
    <numFmt numFmtId="189" formatCode="0.0000_ "/>
    <numFmt numFmtId="190" formatCode="\+0\&quot;;\-0\&quot;;&quot;±&quot;0\&quot;"/>
    <numFmt numFmtId="191" formatCode="0.000&quot;,&quot;"/>
    <numFmt numFmtId="192" formatCode="0_ "/>
    <numFmt numFmtId="193" formatCode="0&quot;-&quot;00&quot;-&quot;00;\-0&quot;-&quot;00&quot;-&quot;00"/>
    <numFmt numFmtId="194" formatCode="00"/>
    <numFmt numFmtId="195" formatCode="\+00;\-00;&quot;±&quot;00"/>
    <numFmt numFmtId="196" formatCode="\+0;\-0;&quot;±&quot;0"/>
    <numFmt numFmtId="197" formatCode="\+0.0;\-0.0;&quot;±&quot;0"/>
    <numFmt numFmtId="198" formatCode="\+0;\-0;\+0"/>
    <numFmt numFmtId="199" formatCode="\+0;\-0;0"/>
    <numFmt numFmtId="200" formatCode="\+0.0;\-0.0;0"/>
    <numFmt numFmtId="201" formatCode="mm"/>
    <numFmt numFmtId="202" formatCode="0&quot;mm&quot;"/>
    <numFmt numFmtId="203" formatCode="0&quot;  mm&quot;"/>
    <numFmt numFmtId="204" formatCode="0&quot;  mm  &quot;"/>
    <numFmt numFmtId="205" formatCode="0.000_ "/>
    <numFmt numFmtId="206" formatCode="0.000_ ;[Red]\-0.000\ "/>
    <numFmt numFmtId="207" formatCode="#,##0_ "/>
    <numFmt numFmtId="208" formatCode="0.00_ "/>
    <numFmt numFmtId="209" formatCode="0.00000"/>
    <numFmt numFmtId="210" formatCode="0.00000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0"/>
      <name val="Arial"/>
      <family val="2"/>
    </font>
    <font>
      <sz val="10"/>
      <name val="ＭＳ ゴシック"/>
      <family val="3"/>
    </font>
    <font>
      <b/>
      <sz val="14"/>
      <color indexed="10"/>
      <name val="ＭＳ Ｐゴシック"/>
      <family val="3"/>
    </font>
    <font>
      <b/>
      <i/>
      <u val="single"/>
      <sz val="12"/>
      <color indexed="10"/>
      <name val="ＭＳ Ｐゴシック"/>
      <family val="3"/>
    </font>
    <font>
      <b/>
      <sz val="11"/>
      <color indexed="48"/>
      <name val="ＭＳ Ｐゴシック"/>
      <family val="3"/>
    </font>
    <font>
      <sz val="11"/>
      <name val="Verdana"/>
      <family val="2"/>
    </font>
    <font>
      <sz val="9"/>
      <name val="MS UI Gothic"/>
      <family val="3"/>
    </font>
    <font>
      <b/>
      <sz val="8"/>
      <name val="ＭＳ Ｐゴシック"/>
      <family val="2"/>
    </font>
  </fonts>
  <fills count="12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" fillId="2" borderId="0">
      <alignment vertical="center"/>
      <protection locked="0"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0" borderId="0">
      <alignment/>
      <protection/>
    </xf>
    <xf numFmtId="0" fontId="11" fillId="0" borderId="0" applyNumberFormat="0" applyFill="0" applyBorder="0" applyAlignment="0" applyProtection="0"/>
  </cellStyleXfs>
  <cellXfs count="139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0" xfId="0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hidden="1"/>
    </xf>
    <xf numFmtId="0" fontId="2" fillId="0" borderId="0" xfId="0" applyNumberFormat="1" applyFont="1" applyBorder="1" applyAlignment="1" applyProtection="1">
      <alignment vertical="center" shrinkToFit="1"/>
      <protection locked="0"/>
    </xf>
    <xf numFmtId="0" fontId="0" fillId="0" borderId="0" xfId="0" applyNumberFormat="1" applyAlignment="1" applyProtection="1">
      <alignment vertical="center" shrinkToFit="1"/>
      <protection hidden="1"/>
    </xf>
    <xf numFmtId="0" fontId="2" fillId="0" borderId="0" xfId="0" applyFont="1" applyAlignment="1" applyProtection="1">
      <alignment vertical="center" shrinkToFit="1"/>
      <protection hidden="1"/>
    </xf>
    <xf numFmtId="0" fontId="2" fillId="0" borderId="0" xfId="0" applyNumberFormat="1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 shrinkToFit="1"/>
      <protection hidden="1" locked="0"/>
    </xf>
    <xf numFmtId="0" fontId="0" fillId="0" borderId="0" xfId="0" applyNumberFormat="1" applyBorder="1" applyAlignment="1" applyProtection="1">
      <alignment vertical="center" shrinkToFit="1"/>
      <protection hidden="1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2" xfId="0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6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3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 locked="0"/>
    </xf>
    <xf numFmtId="0" fontId="2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7" xfId="0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6" xfId="0" applyFont="1" applyFill="1" applyBorder="1" applyAlignment="1" applyProtection="1">
      <alignment horizontal="center" vertical="center"/>
      <protection/>
    </xf>
    <xf numFmtId="0" fontId="0" fillId="0" borderId="8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2" fillId="0" borderId="15" xfId="0" applyFont="1" applyFill="1" applyBorder="1" applyAlignment="1" applyProtection="1">
      <alignment horizontal="left" vertical="center" shrinkToFit="1"/>
      <protection locked="0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right" vertical="center"/>
    </xf>
    <xf numFmtId="0" fontId="0" fillId="0" borderId="6" xfId="0" applyFont="1" applyFill="1" applyBorder="1" applyAlignment="1" applyProtection="1">
      <alignment vertical="center"/>
      <protection/>
    </xf>
    <xf numFmtId="0" fontId="0" fillId="0" borderId="8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9" xfId="0" applyBorder="1" applyAlignment="1">
      <alignment vertical="center"/>
    </xf>
    <xf numFmtId="0" fontId="2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4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8" xfId="0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 shrinkToFit="1"/>
      <protection locked="0"/>
    </xf>
    <xf numFmtId="0" fontId="2" fillId="0" borderId="3" xfId="0" applyFont="1" applyFill="1" applyBorder="1" applyAlignment="1" applyProtection="1">
      <alignment vertical="center" shrinkToFit="1"/>
      <protection locked="0"/>
    </xf>
    <xf numFmtId="0" fontId="2" fillId="0" borderId="5" xfId="0" applyNumberFormat="1" applyFont="1" applyFill="1" applyBorder="1" applyAlignment="1" applyProtection="1">
      <alignment vertical="center" shrinkToFit="1"/>
      <protection hidden="1"/>
    </xf>
    <xf numFmtId="0" fontId="2" fillId="0" borderId="3" xfId="0" applyFont="1" applyFill="1" applyBorder="1" applyAlignment="1" applyProtection="1">
      <alignment horizontal="left" vertical="center" shrinkToFit="1"/>
      <protection hidden="1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15" xfId="0" applyFont="1" applyFill="1" applyBorder="1" applyAlignment="1" applyProtection="1">
      <alignment horizontal="left" vertical="center" shrinkToFit="1"/>
      <protection locked="0"/>
    </xf>
    <xf numFmtId="0" fontId="2" fillId="3" borderId="8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9" fontId="0" fillId="0" borderId="6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179" fontId="0" fillId="0" borderId="1" xfId="0" applyNumberFormat="1" applyFont="1" applyBorder="1" applyAlignment="1" applyProtection="1">
      <alignment vertical="center"/>
      <protection/>
    </xf>
    <xf numFmtId="179" fontId="0" fillId="0" borderId="15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194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0" xfId="0" applyNumberFormat="1" applyBorder="1" applyAlignment="1" applyProtection="1">
      <alignment horizontal="right" vertical="center"/>
      <protection locked="0"/>
    </xf>
    <xf numFmtId="0" fontId="2" fillId="0" borderId="10" xfId="0" applyFont="1" applyBorder="1" applyAlignment="1" applyProtection="1">
      <alignment horizontal="right" vertical="center"/>
      <protection locked="0"/>
    </xf>
    <xf numFmtId="194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" xfId="0" applyNumberForma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right" vertical="center"/>
      <protection locked="0"/>
    </xf>
    <xf numFmtId="49" fontId="2" fillId="0" borderId="0" xfId="0" applyNumberFormat="1" applyFont="1" applyFill="1" applyBorder="1" applyAlignment="1" applyProtection="1">
      <alignment horizontal="right" vertical="center" shrinkToFit="1"/>
      <protection/>
    </xf>
    <xf numFmtId="0" fontId="2" fillId="0" borderId="15" xfId="0" applyFont="1" applyBorder="1" applyAlignment="1" applyProtection="1">
      <alignment horizontal="right" vertical="center"/>
      <protection/>
    </xf>
    <xf numFmtId="49" fontId="2" fillId="0" borderId="2" xfId="0" applyNumberFormat="1" applyFont="1" applyFill="1" applyBorder="1" applyAlignment="1" applyProtection="1">
      <alignment horizontal="right" vertical="center" shrinkToFit="1"/>
      <protection/>
    </xf>
    <xf numFmtId="0" fontId="0" fillId="0" borderId="2" xfId="0" applyBorder="1" applyAlignment="1" applyProtection="1">
      <alignment horizontal="right" vertical="center" shrinkToFit="1"/>
      <protection/>
    </xf>
    <xf numFmtId="49" fontId="2" fillId="0" borderId="1" xfId="0" applyNumberFormat="1" applyFont="1" applyFill="1" applyBorder="1" applyAlignment="1" applyProtection="1">
      <alignment horizontal="right" vertical="center" shrinkToFit="1"/>
      <protection/>
    </xf>
    <xf numFmtId="0" fontId="0" fillId="0" borderId="15" xfId="0" applyNumberFormat="1" applyBorder="1" applyAlignment="1" applyProtection="1">
      <alignment horizontal="right" vertical="center" shrinkToFit="1"/>
      <protection/>
    </xf>
    <xf numFmtId="0" fontId="0" fillId="0" borderId="15" xfId="0" applyBorder="1" applyAlignment="1" applyProtection="1">
      <alignment horizontal="right" vertical="center" shrinkToFit="1"/>
      <protection/>
    </xf>
    <xf numFmtId="179" fontId="0" fillId="0" borderId="0" xfId="0" applyNumberFormat="1" applyFont="1" applyFill="1" applyBorder="1" applyAlignment="1" applyProtection="1">
      <alignment vertical="center"/>
      <protection/>
    </xf>
    <xf numFmtId="179" fontId="0" fillId="0" borderId="2" xfId="0" applyNumberFormat="1" applyFont="1" applyBorder="1" applyAlignment="1" applyProtection="1">
      <alignment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 applyProtection="1">
      <alignment vertical="center"/>
      <protection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10" fillId="0" borderId="18" xfId="16" applyBorder="1" applyAlignment="1" applyProtection="1">
      <alignment horizontal="center" vertical="center"/>
      <protection locked="0"/>
    </xf>
    <xf numFmtId="0" fontId="10" fillId="0" borderId="19" xfId="16" applyBorder="1" applyAlignment="1" applyProtection="1">
      <alignment horizontal="center" vertical="center"/>
      <protection locked="0"/>
    </xf>
    <xf numFmtId="0" fontId="10" fillId="0" borderId="20" xfId="16" applyBorder="1" applyAlignment="1" applyProtection="1">
      <alignment horizontal="center" vertical="center"/>
      <protection locked="0"/>
    </xf>
    <xf numFmtId="0" fontId="10" fillId="0" borderId="15" xfId="16" applyBorder="1" applyAlignment="1" applyProtection="1">
      <alignment horizontal="center" vertical="center"/>
      <protection locked="0"/>
    </xf>
    <xf numFmtId="0" fontId="10" fillId="0" borderId="10" xfId="16" applyBorder="1" applyAlignment="1" applyProtection="1">
      <alignment horizontal="center" vertical="center"/>
      <protection locked="0"/>
    </xf>
    <xf numFmtId="0" fontId="0" fillId="4" borderId="15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2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2" xfId="0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right" vertical="center" shrinkToFit="1"/>
      <protection locked="0"/>
    </xf>
    <xf numFmtId="0" fontId="0" fillId="0" borderId="14" xfId="0" applyNumberFormat="1" applyBorder="1" applyAlignment="1" applyProtection="1">
      <alignment horizontal="right" vertical="center" shrinkToFit="1"/>
      <protection locked="0"/>
    </xf>
    <xf numFmtId="0" fontId="0" fillId="0" borderId="10" xfId="0" applyNumberFormat="1" applyBorder="1" applyAlignment="1" applyProtection="1">
      <alignment horizontal="right" vertical="center" shrinkToFit="1"/>
      <protection locked="0"/>
    </xf>
    <xf numFmtId="0" fontId="0" fillId="0" borderId="4" xfId="0" applyNumberFormat="1" applyBorder="1" applyAlignment="1" applyProtection="1">
      <alignment horizontal="right" vertical="center" shrinkToFit="1"/>
      <protection locked="0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0" fillId="3" borderId="15" xfId="0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179" fontId="2" fillId="0" borderId="7" xfId="0" applyNumberFormat="1" applyFont="1" applyFill="1" applyBorder="1" applyAlignment="1" applyProtection="1">
      <alignment horizontal="center" vertical="center"/>
      <protection locked="0"/>
    </xf>
    <xf numFmtId="179" fontId="2" fillId="0" borderId="5" xfId="0" applyNumberFormat="1" applyFont="1" applyFill="1" applyBorder="1" applyAlignment="1" applyProtection="1">
      <alignment horizontal="center" vertical="center"/>
      <protection locked="0"/>
    </xf>
    <xf numFmtId="179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3" xfId="0" applyFont="1" applyFill="1" applyBorder="1" applyAlignment="1" applyProtection="1">
      <alignment horizontal="center" vertical="center" wrapText="1" shrinkToFit="1"/>
      <protection locked="0"/>
    </xf>
    <xf numFmtId="2" fontId="6" fillId="0" borderId="15" xfId="0" applyNumberFormat="1" applyFont="1" applyFill="1" applyBorder="1" applyAlignment="1" applyProtection="1">
      <alignment vertical="center"/>
      <protection locked="0"/>
    </xf>
    <xf numFmtId="2" fontId="6" fillId="0" borderId="3" xfId="0" applyNumberFormat="1" applyFont="1" applyFill="1" applyBorder="1" applyAlignment="1" applyProtection="1">
      <alignment vertical="center"/>
      <protection locked="0"/>
    </xf>
    <xf numFmtId="2" fontId="6" fillId="0" borderId="4" xfId="0" applyNumberFormat="1" applyFont="1" applyFill="1" applyBorder="1" applyAlignment="1" applyProtection="1">
      <alignment vertical="center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alignment horizontal="center" vertical="center"/>
      <protection locked="0"/>
    </xf>
    <xf numFmtId="205" fontId="6" fillId="0" borderId="3" xfId="0" applyNumberFormat="1" applyFont="1" applyFill="1" applyBorder="1" applyAlignment="1" applyProtection="1">
      <alignment horizontal="center" vertical="center"/>
      <protection locked="0"/>
    </xf>
    <xf numFmtId="205" fontId="6" fillId="0" borderId="15" xfId="0" applyNumberFormat="1" applyFont="1" applyFill="1" applyBorder="1" applyAlignment="1" applyProtection="1">
      <alignment horizontal="center" vertical="center"/>
      <protection locked="0"/>
    </xf>
    <xf numFmtId="205" fontId="6" fillId="0" borderId="15" xfId="0" applyNumberFormat="1" applyFont="1" applyFill="1" applyBorder="1" applyAlignment="1" applyProtection="1">
      <alignment vertical="center"/>
      <protection locked="0"/>
    </xf>
    <xf numFmtId="205" fontId="6" fillId="0" borderId="3" xfId="0" applyNumberFormat="1" applyFont="1" applyFill="1" applyBorder="1" applyAlignment="1" applyProtection="1">
      <alignment vertical="center"/>
      <protection locked="0"/>
    </xf>
    <xf numFmtId="205" fontId="6" fillId="0" borderId="4" xfId="0" applyNumberFormat="1" applyFont="1" applyFill="1" applyBorder="1" applyAlignment="1" applyProtection="1">
      <alignment vertical="center"/>
      <protection locked="0"/>
    </xf>
    <xf numFmtId="0" fontId="3" fillId="0" borderId="7" xfId="0" applyNumberFormat="1" applyFont="1" applyFill="1" applyBorder="1" applyAlignment="1" applyProtection="1">
      <alignment vertical="center" shrinkToFit="1"/>
      <protection locked="0"/>
    </xf>
    <xf numFmtId="205" fontId="6" fillId="0" borderId="7" xfId="0" applyNumberFormat="1" applyFont="1" applyFill="1" applyBorder="1" applyAlignment="1" applyProtection="1">
      <alignment horizontal="center" vertical="center" shrinkToFit="1"/>
      <protection locked="0"/>
    </xf>
    <xf numFmtId="205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205" fontId="6" fillId="0" borderId="21" xfId="0" applyNumberFormat="1" applyFont="1" applyFill="1" applyBorder="1" applyAlignment="1" applyProtection="1">
      <alignment vertical="center" shrinkToFit="1"/>
      <protection locked="0"/>
    </xf>
    <xf numFmtId="205" fontId="6" fillId="0" borderId="22" xfId="0" applyNumberFormat="1" applyFont="1" applyFill="1" applyBorder="1" applyAlignment="1" applyProtection="1">
      <alignment vertical="center" shrinkToFit="1"/>
      <protection locked="0"/>
    </xf>
    <xf numFmtId="205" fontId="6" fillId="0" borderId="23" xfId="0" applyNumberFormat="1" applyFont="1" applyFill="1" applyBorder="1" applyAlignment="1" applyProtection="1">
      <alignment vertical="center" shrinkToFit="1"/>
      <protection locked="0"/>
    </xf>
    <xf numFmtId="205" fontId="6" fillId="0" borderId="1" xfId="0" applyNumberFormat="1" applyFont="1" applyFill="1" applyBorder="1" applyAlignment="1" applyProtection="1">
      <alignment vertical="center" shrinkToFit="1"/>
      <protection locked="0"/>
    </xf>
    <xf numFmtId="205" fontId="6" fillId="0" borderId="7" xfId="0" applyNumberFormat="1" applyFont="1" applyFill="1" applyBorder="1" applyAlignment="1" applyProtection="1">
      <alignment vertical="center" shrinkToFit="1"/>
      <protection locked="0"/>
    </xf>
    <xf numFmtId="205" fontId="6" fillId="0" borderId="11" xfId="0" applyNumberFormat="1" applyFont="1" applyFill="1" applyBorder="1" applyAlignment="1" applyProtection="1">
      <alignment vertical="center" shrinkToFit="1"/>
      <protection locked="0"/>
    </xf>
    <xf numFmtId="0" fontId="10" fillId="0" borderId="8" xfId="16" applyBorder="1" applyAlignment="1">
      <alignment horizontal="center" vertical="center"/>
    </xf>
    <xf numFmtId="0" fontId="0" fillId="0" borderId="0" xfId="0" applyFill="1" applyAlignment="1" quotePrefix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199" fontId="2" fillId="0" borderId="0" xfId="0" applyNumberFormat="1" applyFont="1" applyFill="1" applyBorder="1" applyAlignment="1" applyProtection="1">
      <alignment vertical="center" shrinkToFit="1"/>
      <protection hidden="1"/>
    </xf>
    <xf numFmtId="199" fontId="2" fillId="0" borderId="0" xfId="0" applyNumberFormat="1" applyFont="1" applyFill="1" applyBorder="1" applyAlignment="1" applyProtection="1" quotePrefix="1">
      <alignment vertical="center" shrinkToFit="1"/>
      <protection hidden="1"/>
    </xf>
    <xf numFmtId="0" fontId="10" fillId="0" borderId="12" xfId="16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3" borderId="7" xfId="0" applyFill="1" applyBorder="1" applyAlignment="1">
      <alignment horizontal="center" vertical="center"/>
    </xf>
    <xf numFmtId="0" fontId="31" fillId="0" borderId="15" xfId="0" applyFont="1" applyFill="1" applyBorder="1" applyAlignment="1" applyProtection="1">
      <alignment horizontal="center" vertical="center" wrapText="1" shrinkToFit="1"/>
      <protection locked="0"/>
    </xf>
    <xf numFmtId="0" fontId="2" fillId="7" borderId="24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vertical="center"/>
    </xf>
    <xf numFmtId="0" fontId="32" fillId="0" borderId="0" xfId="0" applyNumberFormat="1" applyFont="1" applyAlignment="1" applyProtection="1">
      <alignment vertical="center"/>
      <protection hidden="1"/>
    </xf>
    <xf numFmtId="0" fontId="32" fillId="0" borderId="0" xfId="0" applyFont="1" applyBorder="1" applyAlignment="1">
      <alignment vertical="center"/>
    </xf>
    <xf numFmtId="0" fontId="32" fillId="0" borderId="0" xfId="0" applyFont="1" applyFill="1" applyBorder="1" applyAlignment="1">
      <alignment vertical="center"/>
    </xf>
    <xf numFmtId="179" fontId="0" fillId="0" borderId="7" xfId="0" applyNumberFormat="1" applyFont="1" applyBorder="1" applyAlignment="1" applyProtection="1">
      <alignment vertical="center"/>
      <protection/>
    </xf>
    <xf numFmtId="179" fontId="0" fillId="0" borderId="3" xfId="0" applyNumberFormat="1" applyFont="1" applyBorder="1" applyAlignment="1" applyProtection="1">
      <alignment vertical="center"/>
      <protection/>
    </xf>
    <xf numFmtId="179" fontId="0" fillId="0" borderId="5" xfId="0" applyNumberFormat="1" applyFont="1" applyBorder="1" applyAlignment="1" applyProtection="1">
      <alignment vertical="center"/>
      <protection/>
    </xf>
    <xf numFmtId="192" fontId="0" fillId="0" borderId="0" xfId="0" applyNumberFormat="1" applyBorder="1" applyAlignment="1" applyProtection="1">
      <alignment vertical="center"/>
      <protection locked="0"/>
    </xf>
    <xf numFmtId="0" fontId="35" fillId="0" borderId="0" xfId="0" applyFont="1" applyAlignment="1">
      <alignment vertical="center"/>
    </xf>
    <xf numFmtId="0" fontId="2" fillId="3" borderId="11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2" fillId="3" borderId="9" xfId="0" applyFont="1" applyFill="1" applyBorder="1" applyAlignment="1" applyProtection="1">
      <alignment horizontal="center" vertical="center"/>
      <protection/>
    </xf>
    <xf numFmtId="0" fontId="2" fillId="3" borderId="2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 shrinkToFi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shrinkToFit="1"/>
      <protection/>
    </xf>
    <xf numFmtId="0" fontId="2" fillId="3" borderId="0" xfId="0" applyFont="1" applyFill="1" applyBorder="1" applyAlignment="1" applyProtection="1">
      <alignment horizontal="center" vertical="center" shrinkToFit="1"/>
      <protection/>
    </xf>
    <xf numFmtId="0" fontId="2" fillId="3" borderId="4" xfId="0" applyFont="1" applyFill="1" applyBorder="1" applyAlignment="1" applyProtection="1">
      <alignment horizontal="center" vertical="center" shrinkToFit="1"/>
      <protection/>
    </xf>
    <xf numFmtId="0" fontId="2" fillId="3" borderId="10" xfId="0" applyFont="1" applyFill="1" applyBorder="1" applyAlignment="1" applyProtection="1">
      <alignment horizontal="center" vertical="center" shrinkToFit="1"/>
      <protection/>
    </xf>
    <xf numFmtId="0" fontId="2" fillId="3" borderId="11" xfId="0" applyFont="1" applyFill="1" applyBorder="1" applyAlignment="1" applyProtection="1">
      <alignment horizontal="center" vertical="center" shrinkToFit="1"/>
      <protection/>
    </xf>
    <xf numFmtId="0" fontId="2" fillId="3" borderId="9" xfId="0" applyFont="1" applyFill="1" applyBorder="1" applyAlignment="1" applyProtection="1">
      <alignment horizontal="center" vertical="center" shrinkToFit="1"/>
      <protection/>
    </xf>
    <xf numFmtId="0" fontId="2" fillId="3" borderId="1" xfId="0" applyFont="1" applyFill="1" applyBorder="1" applyAlignment="1" applyProtection="1">
      <alignment horizontal="center" vertical="center" shrinkToFit="1"/>
      <protection/>
    </xf>
    <xf numFmtId="0" fontId="2" fillId="3" borderId="15" xfId="0" applyFont="1" applyFill="1" applyBorder="1" applyAlignment="1" applyProtection="1">
      <alignment horizontal="center" vertical="center" shrinkToFit="1"/>
      <protection/>
    </xf>
    <xf numFmtId="0" fontId="3" fillId="3" borderId="7" xfId="0" applyFont="1" applyFill="1" applyBorder="1" applyAlignment="1" applyProtection="1">
      <alignment horizontal="center" vertical="center" shrinkToFit="1"/>
      <protection/>
    </xf>
    <xf numFmtId="0" fontId="3" fillId="3" borderId="5" xfId="0" applyFont="1" applyFill="1" applyBorder="1" applyAlignment="1" applyProtection="1">
      <alignment horizontal="center" vertical="center" shrinkToFit="1"/>
      <protection/>
    </xf>
    <xf numFmtId="0" fontId="3" fillId="3" borderId="3" xfId="0" applyFont="1" applyFill="1" applyBorder="1" applyAlignment="1" applyProtection="1">
      <alignment horizontal="center" vertical="center" shrinkToFit="1"/>
      <protection/>
    </xf>
    <xf numFmtId="0" fontId="2" fillId="0" borderId="14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17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17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177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177" fontId="2" fillId="0" borderId="10" xfId="0" applyNumberFormat="1" applyFont="1" applyFill="1" applyBorder="1" applyAlignment="1" applyProtection="1">
      <alignment horizontal="center" vertical="center" shrinkToFit="1"/>
      <protection hidden="1"/>
    </xf>
    <xf numFmtId="177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9" xfId="0" applyNumberFormat="1" applyFont="1" applyFill="1" applyBorder="1" applyAlignment="1" applyProtection="1">
      <alignment horizontal="center" vertical="center" shrinkToFit="1"/>
      <protection hidden="1"/>
    </xf>
    <xf numFmtId="177" fontId="2" fillId="0" borderId="0" xfId="0" applyNumberFormat="1" applyFont="1" applyFill="1" applyBorder="1" applyAlignment="1" applyProtection="1">
      <alignment horizontal="center" vertical="center" shrinkToFit="1"/>
      <protection hidden="1"/>
    </xf>
    <xf numFmtId="177" fontId="2" fillId="0" borderId="11" xfId="0" applyNumberFormat="1" applyFont="1" applyFill="1" applyBorder="1" applyAlignment="1" applyProtection="1">
      <alignment horizontal="center" vertical="center" shrinkToFit="1"/>
      <protection hidden="1"/>
    </xf>
    <xf numFmtId="177" fontId="2" fillId="0" borderId="14" xfId="0" applyNumberFormat="1" applyFont="1" applyFill="1" applyBorder="1" applyAlignment="1" applyProtection="1">
      <alignment horizontal="center" vertical="center" shrinkToFit="1"/>
      <protection hidden="1"/>
    </xf>
    <xf numFmtId="177" fontId="2" fillId="0" borderId="4" xfId="0" applyNumberFormat="1" applyFont="1" applyFill="1" applyBorder="1" applyAlignment="1" applyProtection="1">
      <alignment horizontal="center" vertical="center" shrinkToFit="1"/>
      <protection hidden="1"/>
    </xf>
    <xf numFmtId="177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horizontal="center" vertical="center" shrinkToFit="1"/>
      <protection locked="0"/>
    </xf>
    <xf numFmtId="0" fontId="0" fillId="2" borderId="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15" fillId="8" borderId="7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22" fillId="8" borderId="7" xfId="0" applyFont="1" applyFill="1" applyBorder="1" applyAlignment="1">
      <alignment horizontal="center" vertical="center"/>
    </xf>
    <xf numFmtId="0" fontId="22" fillId="8" borderId="5" xfId="0" applyFont="1" applyFill="1" applyBorder="1" applyAlignment="1">
      <alignment horizontal="center" vertical="center"/>
    </xf>
    <xf numFmtId="0" fontId="22" fillId="8" borderId="3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 shrinkToFit="1"/>
    </xf>
    <xf numFmtId="0" fontId="0" fillId="9" borderId="9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/>
    </xf>
    <xf numFmtId="0" fontId="0" fillId="9" borderId="11" xfId="0" applyFont="1" applyFill="1" applyBorder="1" applyAlignment="1">
      <alignment horizontal="center" vertical="center"/>
    </xf>
    <xf numFmtId="0" fontId="0" fillId="9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 applyProtection="1">
      <alignment horizontal="center" vertical="center" shrinkToFit="1"/>
      <protection/>
    </xf>
    <xf numFmtId="0" fontId="2" fillId="3" borderId="5" xfId="0" applyFont="1" applyFill="1" applyBorder="1" applyAlignment="1" applyProtection="1">
      <alignment horizontal="center" vertical="center" shrinkToFit="1"/>
      <protection/>
    </xf>
    <xf numFmtId="0" fontId="2" fillId="3" borderId="3" xfId="0" applyFont="1" applyFill="1" applyBorder="1" applyAlignment="1" applyProtection="1">
      <alignment horizontal="center" vertical="center" shrinkToFit="1"/>
      <protection/>
    </xf>
    <xf numFmtId="0" fontId="2" fillId="0" borderId="9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179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9" xfId="0" applyNumberFormat="1" applyFont="1" applyFill="1" applyBorder="1" applyAlignment="1" applyProtection="1">
      <alignment horizontal="center" vertical="center" shrinkToFit="1"/>
      <protection hidden="1"/>
    </xf>
    <xf numFmtId="179" fontId="2" fillId="0" borderId="0" xfId="0" applyNumberFormat="1" applyFont="1" applyFill="1" applyBorder="1" applyAlignment="1" applyProtection="1">
      <alignment horizontal="center" vertical="center" shrinkToFit="1"/>
      <protection hidden="1"/>
    </xf>
    <xf numFmtId="179" fontId="2" fillId="0" borderId="10" xfId="0" applyNumberFormat="1" applyFont="1" applyFill="1" applyBorder="1" applyAlignment="1" applyProtection="1">
      <alignment horizontal="center" vertical="center" shrinkToFit="1"/>
      <protection hidden="1"/>
    </xf>
    <xf numFmtId="17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/>
    </xf>
    <xf numFmtId="0" fontId="2" fillId="2" borderId="2" xfId="0" applyFont="1" applyFill="1" applyBorder="1" applyAlignment="1" applyProtection="1">
      <alignment horizontal="center" vertical="center" shrinkToFit="1"/>
      <protection/>
    </xf>
    <xf numFmtId="0" fontId="2" fillId="2" borderId="15" xfId="0" applyFont="1" applyFill="1" applyBorder="1" applyAlignment="1" applyProtection="1">
      <alignment horizontal="center" vertical="center" shrinkToFit="1"/>
      <protection/>
    </xf>
    <xf numFmtId="0" fontId="2" fillId="2" borderId="9" xfId="0" applyFont="1" applyFill="1" applyBorder="1" applyAlignment="1" applyProtection="1">
      <alignment horizontal="center" vertical="center" shrinkToFit="1"/>
      <protection/>
    </xf>
    <xf numFmtId="0" fontId="2" fillId="2" borderId="0" xfId="0" applyFont="1" applyFill="1" applyBorder="1" applyAlignment="1" applyProtection="1">
      <alignment horizontal="center" vertical="center" shrinkToFit="1"/>
      <protection/>
    </xf>
    <xf numFmtId="0" fontId="2" fillId="2" borderId="10" xfId="0" applyFont="1" applyFill="1" applyBorder="1" applyAlignment="1" applyProtection="1">
      <alignment horizontal="center" vertical="center" shrinkToFit="1"/>
      <protection/>
    </xf>
    <xf numFmtId="0" fontId="2" fillId="2" borderId="11" xfId="0" applyFont="1" applyFill="1" applyBorder="1" applyAlignment="1" applyProtection="1">
      <alignment horizontal="center" vertical="center" shrinkToFit="1"/>
      <protection/>
    </xf>
    <xf numFmtId="0" fontId="2" fillId="2" borderId="14" xfId="0" applyFont="1" applyFill="1" applyBorder="1" applyAlignment="1" applyProtection="1">
      <alignment horizontal="center" vertical="center" shrinkToFit="1"/>
      <protection/>
    </xf>
    <xf numFmtId="0" fontId="2" fillId="2" borderId="4" xfId="0" applyFont="1" applyFill="1" applyBorder="1" applyAlignment="1" applyProtection="1">
      <alignment horizontal="center" vertical="center" shrinkToFit="1"/>
      <protection/>
    </xf>
    <xf numFmtId="0" fontId="2" fillId="0" borderId="9" xfId="0" applyFont="1" applyFill="1" applyBorder="1" applyAlignment="1" applyProtection="1">
      <alignment horizontal="left" vertical="center" shrinkToFit="1"/>
      <protection locked="0"/>
    </xf>
    <xf numFmtId="0" fontId="2" fillId="0" borderId="10" xfId="0" applyFont="1" applyFill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177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2" fillId="0" borderId="2" xfId="0" applyNumberFormat="1" applyFont="1" applyFill="1" applyBorder="1" applyAlignment="1" applyProtection="1">
      <alignment horizontal="center" vertical="center" shrinkToFit="1"/>
      <protection hidden="1"/>
    </xf>
    <xf numFmtId="177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" xfId="0" applyFont="1" applyFill="1" applyBorder="1" applyAlignment="1" applyProtection="1">
      <alignment horizontal="left" vertical="center" shrinkToFit="1"/>
      <protection locked="0"/>
    </xf>
    <xf numFmtId="0" fontId="2" fillId="0" borderId="15" xfId="0" applyFont="1" applyFill="1" applyBorder="1" applyAlignment="1" applyProtection="1">
      <alignment horizontal="left" vertical="center" shrinkToFit="1"/>
      <protection locked="0"/>
    </xf>
    <xf numFmtId="179" fontId="2" fillId="0" borderId="2" xfId="0" applyNumberFormat="1" applyFont="1" applyFill="1" applyBorder="1" applyAlignment="1" applyProtection="1">
      <alignment horizontal="center" vertical="center" shrinkToFit="1"/>
      <protection hidden="1"/>
    </xf>
    <xf numFmtId="179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177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179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17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179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9" xfId="0" applyNumberFormat="1" applyFont="1" applyFill="1" applyBorder="1" applyAlignment="1" applyProtection="1">
      <alignment horizontal="center" vertical="center" shrinkToFit="1"/>
      <protection hidden="1"/>
    </xf>
    <xf numFmtId="186" fontId="2" fillId="0" borderId="0" xfId="0" applyNumberFormat="1" applyFont="1" applyFill="1" applyBorder="1" applyAlignment="1" applyProtection="1">
      <alignment horizontal="center" vertical="center" shrinkToFit="1"/>
      <protection hidden="1"/>
    </xf>
    <xf numFmtId="186" fontId="2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3" fillId="3" borderId="1" xfId="0" applyFont="1" applyFill="1" applyBorder="1" applyAlignment="1" applyProtection="1">
      <alignment horizontal="center" vertical="center" shrinkToFit="1"/>
      <protection/>
    </xf>
    <xf numFmtId="0" fontId="3" fillId="3" borderId="2" xfId="0" applyFont="1" applyFill="1" applyBorder="1" applyAlignment="1" applyProtection="1">
      <alignment horizontal="center" vertical="center" shrinkToFit="1"/>
      <protection/>
    </xf>
    <xf numFmtId="0" fontId="3" fillId="3" borderId="15" xfId="0" applyFont="1" applyFill="1" applyBorder="1" applyAlignment="1" applyProtection="1">
      <alignment horizontal="center" vertical="center" shrinkToFit="1"/>
      <protection/>
    </xf>
    <xf numFmtId="0" fontId="3" fillId="3" borderId="9" xfId="0" applyFont="1" applyFill="1" applyBorder="1" applyAlignment="1" applyProtection="1">
      <alignment horizontal="center" vertical="center" shrinkToFit="1"/>
      <protection/>
    </xf>
    <xf numFmtId="0" fontId="3" fillId="3" borderId="0" xfId="0" applyFont="1" applyFill="1" applyBorder="1" applyAlignment="1" applyProtection="1">
      <alignment horizontal="center" vertical="center" shrinkToFit="1"/>
      <protection/>
    </xf>
    <xf numFmtId="0" fontId="3" fillId="3" borderId="10" xfId="0" applyFont="1" applyFill="1" applyBorder="1" applyAlignment="1" applyProtection="1">
      <alignment horizontal="center" vertical="center" shrinkToFit="1"/>
      <protection/>
    </xf>
    <xf numFmtId="179" fontId="2" fillId="0" borderId="11" xfId="0" applyNumberFormat="1" applyFont="1" applyFill="1" applyBorder="1" applyAlignment="1" applyProtection="1">
      <alignment horizontal="center" vertical="center" shrinkToFit="1"/>
      <protection hidden="1"/>
    </xf>
    <xf numFmtId="179" fontId="2" fillId="0" borderId="14" xfId="0" applyNumberFormat="1" applyFont="1" applyFill="1" applyBorder="1" applyAlignment="1" applyProtection="1">
      <alignment horizontal="center" vertical="center" shrinkToFit="1"/>
      <protection hidden="1"/>
    </xf>
    <xf numFmtId="179" fontId="2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5" xfId="0" applyNumberFormat="1" applyFont="1" applyFill="1" applyBorder="1" applyAlignment="1" applyProtection="1">
      <alignment horizontal="center" vertical="center" shrinkToFit="1"/>
      <protection locked="0"/>
    </xf>
    <xf numFmtId="190" fontId="2" fillId="0" borderId="1" xfId="0" applyNumberFormat="1" applyFont="1" applyFill="1" applyBorder="1" applyAlignment="1" applyProtection="1">
      <alignment horizontal="center" vertical="center" shrinkToFit="1"/>
      <protection/>
    </xf>
    <xf numFmtId="190" fontId="2" fillId="0" borderId="2" xfId="0" applyNumberFormat="1" applyFont="1" applyFill="1" applyBorder="1" applyAlignment="1" applyProtection="1">
      <alignment horizontal="center" vertical="center" shrinkToFit="1"/>
      <protection/>
    </xf>
    <xf numFmtId="190" fontId="2" fillId="0" borderId="15" xfId="0" applyNumberFormat="1" applyFont="1" applyFill="1" applyBorder="1" applyAlignment="1" applyProtection="1">
      <alignment horizontal="center" vertical="center" shrinkToFit="1"/>
      <protection/>
    </xf>
    <xf numFmtId="186" fontId="2" fillId="0" borderId="1" xfId="0" applyNumberFormat="1" applyFont="1" applyFill="1" applyBorder="1" applyAlignment="1" applyProtection="1">
      <alignment horizontal="center" vertical="center" shrinkToFit="1"/>
      <protection hidden="1"/>
    </xf>
    <xf numFmtId="186" fontId="2" fillId="0" borderId="2" xfId="0" applyNumberFormat="1" applyFont="1" applyFill="1" applyBorder="1" applyAlignment="1" applyProtection="1">
      <alignment horizontal="center" vertical="center" shrinkToFit="1"/>
      <protection hidden="1"/>
    </xf>
    <xf numFmtId="186" fontId="2" fillId="0" borderId="15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186" fontId="2" fillId="0" borderId="11" xfId="0" applyNumberFormat="1" applyFont="1" applyFill="1" applyBorder="1" applyAlignment="1" applyProtection="1">
      <alignment horizontal="center" vertical="center" shrinkToFit="1"/>
      <protection hidden="1"/>
    </xf>
    <xf numFmtId="186" fontId="2" fillId="0" borderId="14" xfId="0" applyNumberFormat="1" applyFont="1" applyFill="1" applyBorder="1" applyAlignment="1" applyProtection="1">
      <alignment horizontal="center" vertical="center" shrinkToFit="1"/>
      <protection hidden="1"/>
    </xf>
    <xf numFmtId="186" fontId="2" fillId="0" borderId="4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90" fontId="2" fillId="0" borderId="9" xfId="0" applyNumberFormat="1" applyFont="1" applyFill="1" applyBorder="1" applyAlignment="1" applyProtection="1">
      <alignment horizontal="center" vertical="center" shrinkToFit="1"/>
      <protection/>
    </xf>
    <xf numFmtId="190" fontId="2" fillId="0" borderId="0" xfId="0" applyNumberFormat="1" applyFont="1" applyFill="1" applyBorder="1" applyAlignment="1" applyProtection="1">
      <alignment horizontal="center" vertical="center" shrinkToFit="1"/>
      <protection/>
    </xf>
    <xf numFmtId="190" fontId="2" fillId="0" borderId="10" xfId="0" applyNumberFormat="1" applyFont="1" applyFill="1" applyBorder="1" applyAlignment="1" applyProtection="1">
      <alignment horizontal="center" vertical="center" shrinkToFit="1"/>
      <protection/>
    </xf>
    <xf numFmtId="190" fontId="2" fillId="0" borderId="11" xfId="0" applyNumberFormat="1" applyFont="1" applyFill="1" applyBorder="1" applyAlignment="1" applyProtection="1">
      <alignment horizontal="center" vertical="center" shrinkToFit="1"/>
      <protection/>
    </xf>
    <xf numFmtId="190" fontId="2" fillId="0" borderId="14" xfId="0" applyNumberFormat="1" applyFont="1" applyFill="1" applyBorder="1" applyAlignment="1" applyProtection="1">
      <alignment horizontal="center" vertical="center" shrinkToFit="1"/>
      <protection/>
    </xf>
    <xf numFmtId="190" fontId="2" fillId="0" borderId="4" xfId="0" applyNumberFormat="1" applyFont="1" applyFill="1" applyBorder="1" applyAlignment="1" applyProtection="1">
      <alignment horizontal="center" vertical="center" shrinkToFit="1"/>
      <protection/>
    </xf>
    <xf numFmtId="0" fontId="0" fillId="0" borderId="7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" fillId="7" borderId="0" xfId="0" applyFont="1" applyFill="1" applyAlignment="1" applyProtection="1">
      <alignment horizontal="center" vertical="center"/>
      <protection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right" vertical="top"/>
      <protection/>
    </xf>
    <xf numFmtId="0" fontId="12" fillId="9" borderId="0" xfId="0" applyFont="1" applyFill="1" applyAlignment="1" applyProtection="1">
      <alignment horizontal="center" vertical="center"/>
      <protection hidden="1"/>
    </xf>
    <xf numFmtId="0" fontId="15" fillId="9" borderId="25" xfId="0" applyFont="1" applyFill="1" applyBorder="1" applyAlignment="1" applyProtection="1">
      <alignment horizontal="center" vertical="center"/>
      <protection/>
    </xf>
    <xf numFmtId="0" fontId="15" fillId="9" borderId="26" xfId="0" applyFont="1" applyFill="1" applyBorder="1" applyAlignment="1" applyProtection="1">
      <alignment horizontal="center" vertical="center"/>
      <protection/>
    </xf>
    <xf numFmtId="0" fontId="15" fillId="9" borderId="27" xfId="0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>
      <alignment horizontal="center" vertical="center"/>
    </xf>
    <xf numFmtId="0" fontId="2" fillId="0" borderId="7" xfId="0" applyFont="1" applyFill="1" applyBorder="1" applyAlignment="1" applyProtection="1">
      <alignment horizontal="center" vertical="center" shrinkToFit="1"/>
      <protection locked="0"/>
    </xf>
    <xf numFmtId="0" fontId="2" fillId="0" borderId="5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15" fillId="2" borderId="25" xfId="0" applyFont="1" applyFill="1" applyBorder="1" applyAlignment="1" applyProtection="1">
      <alignment horizontal="center" vertical="center"/>
      <protection locked="0"/>
    </xf>
    <xf numFmtId="0" fontId="15" fillId="2" borderId="26" xfId="0" applyFont="1" applyFill="1" applyBorder="1" applyAlignment="1" applyProtection="1">
      <alignment horizontal="center" vertical="center"/>
      <protection locked="0"/>
    </xf>
    <xf numFmtId="0" fontId="15" fillId="2" borderId="27" xfId="0" applyFont="1" applyFill="1" applyBorder="1" applyAlignment="1" applyProtection="1">
      <alignment horizontal="center" vertical="center"/>
      <protection locked="0"/>
    </xf>
    <xf numFmtId="0" fontId="15" fillId="9" borderId="0" xfId="0" applyFont="1" applyFill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9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10" fillId="9" borderId="0" xfId="16" applyFill="1" applyAlignment="1" applyProtection="1">
      <alignment horizontal="center" vertical="center"/>
      <protection/>
    </xf>
    <xf numFmtId="9" fontId="0" fillId="0" borderId="7" xfId="0" applyNumberFormat="1" applyBorder="1" applyAlignment="1" applyProtection="1">
      <alignment horizontal="center" vertical="center"/>
      <protection locked="0"/>
    </xf>
    <xf numFmtId="9" fontId="0" fillId="0" borderId="5" xfId="0" applyNumberFormat="1" applyBorder="1" applyAlignment="1" applyProtection="1">
      <alignment horizontal="center" vertical="center"/>
      <protection locked="0"/>
    </xf>
    <xf numFmtId="9" fontId="0" fillId="0" borderId="3" xfId="0" applyNumberFormat="1" applyBorder="1" applyAlignment="1" applyProtection="1">
      <alignment horizontal="center" vertical="center"/>
      <protection locked="0"/>
    </xf>
    <xf numFmtId="179" fontId="2" fillId="0" borderId="1" xfId="0" applyNumberFormat="1" applyFont="1" applyFill="1" applyBorder="1" applyAlignment="1" applyProtection="1">
      <alignment horizontal="center" vertical="center" shrinkToFit="1"/>
      <protection/>
    </xf>
    <xf numFmtId="179" fontId="2" fillId="0" borderId="2" xfId="0" applyNumberFormat="1" applyFont="1" applyFill="1" applyBorder="1" applyAlignment="1" applyProtection="1">
      <alignment horizontal="center" vertical="center" shrinkToFit="1"/>
      <protection/>
    </xf>
    <xf numFmtId="179" fontId="2" fillId="0" borderId="15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vertical="center"/>
      <protection/>
    </xf>
    <xf numFmtId="0" fontId="2" fillId="0" borderId="5" xfId="0" applyFont="1" applyBorder="1" applyAlignment="1" applyProtection="1">
      <alignment horizontal="center" vertical="center" shrinkToFit="1"/>
      <protection hidden="1"/>
    </xf>
    <xf numFmtId="0" fontId="2" fillId="0" borderId="3" xfId="0" applyFont="1" applyBorder="1" applyAlignment="1" applyProtection="1">
      <alignment horizontal="center" vertical="center" shrinkToFit="1"/>
      <protection hidden="1"/>
    </xf>
    <xf numFmtId="0" fontId="2" fillId="0" borderId="7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center" vertical="center" shrinkToFit="1"/>
      <protection hidden="1"/>
    </xf>
    <xf numFmtId="0" fontId="2" fillId="0" borderId="5" xfId="0" applyFont="1" applyFill="1" applyBorder="1" applyAlignment="1" applyProtection="1">
      <alignment horizontal="center" vertical="center" shrinkToFit="1"/>
      <protection hidden="1"/>
    </xf>
    <xf numFmtId="0" fontId="2" fillId="0" borderId="3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left" vertical="center" wrapText="1" shrinkToFit="1"/>
      <protection hidden="1"/>
    </xf>
    <xf numFmtId="0" fontId="2" fillId="0" borderId="5" xfId="0" applyFont="1" applyFill="1" applyBorder="1" applyAlignment="1" applyProtection="1">
      <alignment horizontal="left" vertical="center" wrapText="1" shrinkToFit="1"/>
      <protection hidden="1"/>
    </xf>
    <xf numFmtId="0" fontId="2" fillId="0" borderId="3" xfId="0" applyFont="1" applyFill="1" applyBorder="1" applyAlignment="1" applyProtection="1">
      <alignment horizontal="left" vertical="center" wrapText="1" shrinkToFit="1"/>
      <protection hidden="1"/>
    </xf>
    <xf numFmtId="0" fontId="6" fillId="0" borderId="0" xfId="0" applyFont="1" applyBorder="1" applyAlignment="1" applyProtection="1">
      <alignment horizontal="right" vertical="top"/>
      <protection locked="0"/>
    </xf>
    <xf numFmtId="0" fontId="2" fillId="0" borderId="7" xfId="0" applyFont="1" applyBorder="1" applyAlignment="1" applyProtection="1">
      <alignment horizontal="center" vertical="center" shrinkToFit="1"/>
      <protection hidden="1"/>
    </xf>
    <xf numFmtId="0" fontId="2" fillId="0" borderId="7" xfId="0" applyFont="1" applyBorder="1" applyAlignment="1" applyProtection="1">
      <alignment horizontal="left" vertical="center" wrapText="1" shrinkToFit="1"/>
      <protection hidden="1"/>
    </xf>
    <xf numFmtId="0" fontId="2" fillId="0" borderId="5" xfId="0" applyFont="1" applyBorder="1" applyAlignment="1" applyProtection="1">
      <alignment horizontal="left" vertical="center" wrapText="1" shrinkToFit="1"/>
      <protection hidden="1"/>
    </xf>
    <xf numFmtId="0" fontId="2" fillId="0" borderId="3" xfId="0" applyFont="1" applyBorder="1" applyAlignment="1" applyProtection="1">
      <alignment horizontal="left" vertical="center" wrapText="1" shrinkToFit="1"/>
      <protection hidden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4" xfId="0" applyNumberFormat="1" applyFont="1" applyFill="1" applyBorder="1" applyAlignment="1" applyProtection="1">
      <alignment horizontal="right" vertical="center" shrinkToFit="1"/>
      <protection locked="0"/>
    </xf>
    <xf numFmtId="179" fontId="2" fillId="0" borderId="9" xfId="0" applyNumberFormat="1" applyFont="1" applyFill="1" applyBorder="1" applyAlignment="1" applyProtection="1">
      <alignment horizontal="center" vertical="center" shrinkToFit="1"/>
      <protection/>
    </xf>
    <xf numFmtId="179" fontId="2" fillId="0" borderId="0" xfId="0" applyNumberFormat="1" applyFont="1" applyFill="1" applyBorder="1" applyAlignment="1" applyProtection="1">
      <alignment horizontal="center" vertical="center" shrinkToFit="1"/>
      <protection/>
    </xf>
    <xf numFmtId="179" fontId="2" fillId="0" borderId="10" xfId="0" applyNumberFormat="1" applyFont="1" applyFill="1" applyBorder="1" applyAlignment="1" applyProtection="1">
      <alignment horizontal="center" vertical="center" shrinkToFit="1"/>
      <protection/>
    </xf>
    <xf numFmtId="179" fontId="2" fillId="10" borderId="9" xfId="0" applyNumberFormat="1" applyFont="1" applyFill="1" applyBorder="1" applyAlignment="1" applyProtection="1">
      <alignment horizontal="center" vertical="center" shrinkToFit="1"/>
      <protection hidden="1"/>
    </xf>
    <xf numFmtId="179" fontId="2" fillId="10" borderId="0" xfId="0" applyNumberFormat="1" applyFont="1" applyFill="1" applyBorder="1" applyAlignment="1" applyProtection="1">
      <alignment horizontal="center" vertical="center" shrinkToFit="1"/>
      <protection hidden="1"/>
    </xf>
    <xf numFmtId="179" fontId="2" fillId="10" borderId="1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205" fontId="2" fillId="0" borderId="11" xfId="0" applyNumberFormat="1" applyFont="1" applyBorder="1" applyAlignment="1">
      <alignment horizontal="center" vertical="center"/>
    </xf>
    <xf numFmtId="205" fontId="2" fillId="0" borderId="14" xfId="0" applyNumberFormat="1" applyFont="1" applyBorder="1" applyAlignment="1">
      <alignment horizontal="center" vertical="center"/>
    </xf>
    <xf numFmtId="205" fontId="2" fillId="0" borderId="4" xfId="0" applyNumberFormat="1" applyFont="1" applyBorder="1" applyAlignment="1">
      <alignment horizontal="center" vertical="center"/>
    </xf>
    <xf numFmtId="179" fontId="2" fillId="10" borderId="11" xfId="0" applyNumberFormat="1" applyFont="1" applyFill="1" applyBorder="1" applyAlignment="1" applyProtection="1">
      <alignment horizontal="center" vertical="center" shrinkToFit="1"/>
      <protection hidden="1"/>
    </xf>
    <xf numFmtId="179" fontId="2" fillId="10" borderId="14" xfId="0" applyNumberFormat="1" applyFont="1" applyFill="1" applyBorder="1" applyAlignment="1" applyProtection="1">
      <alignment horizontal="center" vertical="center" shrinkToFit="1"/>
      <protection hidden="1"/>
    </xf>
    <xf numFmtId="179" fontId="2" fillId="10" borderId="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10" borderId="9" xfId="0" applyNumberFormat="1" applyFont="1" applyFill="1" applyBorder="1" applyAlignment="1" applyProtection="1">
      <alignment horizontal="center" vertical="center" shrinkToFit="1"/>
      <protection hidden="1"/>
    </xf>
    <xf numFmtId="0" fontId="2" fillId="10" borderId="0" xfId="0" applyNumberFormat="1" applyFont="1" applyFill="1" applyBorder="1" applyAlignment="1" applyProtection="1">
      <alignment horizontal="center" vertical="center" shrinkToFit="1"/>
      <protection hidden="1"/>
    </xf>
    <xf numFmtId="0" fontId="2" fillId="10" borderId="10" xfId="0" applyNumberFormat="1" applyFont="1" applyFill="1" applyBorder="1" applyAlignment="1" applyProtection="1">
      <alignment horizontal="center" vertical="center" shrinkToFit="1"/>
      <protection hidden="1"/>
    </xf>
    <xf numFmtId="49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2" fillId="3" borderId="3" xfId="0" applyFont="1" applyFill="1" applyBorder="1" applyAlignment="1" applyProtection="1">
      <alignment horizontal="center" vertical="center"/>
      <protection/>
    </xf>
    <xf numFmtId="186" fontId="2" fillId="0" borderId="0" xfId="0" applyNumberFormat="1" applyFont="1" applyFill="1" applyBorder="1" applyAlignment="1" applyProtection="1">
      <alignment horizontal="center" vertical="center" shrinkToFit="1"/>
      <protection/>
    </xf>
    <xf numFmtId="186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9" xfId="0" applyNumberFormat="1" applyFont="1" applyFill="1" applyBorder="1" applyAlignment="1" applyProtection="1">
      <alignment horizontal="right" vertical="center" shrinkToFit="1"/>
      <protection locked="0"/>
    </xf>
    <xf numFmtId="205" fontId="2" fillId="0" borderId="9" xfId="0" applyNumberFormat="1" applyFont="1" applyBorder="1" applyAlignment="1">
      <alignment horizontal="center" vertical="center"/>
    </xf>
    <xf numFmtId="205" fontId="2" fillId="0" borderId="0" xfId="0" applyNumberFormat="1" applyFont="1" applyAlignment="1">
      <alignment horizontal="center" vertical="center"/>
    </xf>
    <xf numFmtId="205" fontId="2" fillId="0" borderId="10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0" fontId="2" fillId="0" borderId="15" xfId="0" applyFont="1" applyFill="1" applyBorder="1" applyAlignment="1" applyProtection="1">
      <alignment horizontal="center" vertical="center" shrinkToFit="1"/>
      <protection/>
    </xf>
    <xf numFmtId="0" fontId="2" fillId="0" borderId="2" xfId="0" applyFont="1" applyFill="1" applyBorder="1" applyAlignment="1" applyProtection="1">
      <alignment horizontal="center" vertical="center" shrinkToFit="1"/>
      <protection/>
    </xf>
    <xf numFmtId="0" fontId="3" fillId="3" borderId="14" xfId="0" applyFont="1" applyFill="1" applyBorder="1" applyAlignment="1" applyProtection="1">
      <alignment horizontal="center" vertical="center" shrinkToFit="1"/>
      <protection/>
    </xf>
    <xf numFmtId="0" fontId="3" fillId="3" borderId="4" xfId="0" applyFont="1" applyFill="1" applyBorder="1" applyAlignment="1" applyProtection="1">
      <alignment horizontal="center" vertical="center" shrinkToFit="1"/>
      <protection/>
    </xf>
    <xf numFmtId="0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/>
    </xf>
    <xf numFmtId="0" fontId="2" fillId="0" borderId="0" xfId="0" applyFont="1" applyFill="1" applyBorder="1" applyAlignment="1" applyProtection="1">
      <alignment horizontal="center" vertical="center" shrinkToFit="1"/>
      <protection/>
    </xf>
    <xf numFmtId="0" fontId="2" fillId="0" borderId="10" xfId="0" applyFont="1" applyFill="1" applyBorder="1" applyAlignment="1" applyProtection="1">
      <alignment horizontal="center" vertical="center" shrinkToFit="1"/>
      <protection/>
    </xf>
    <xf numFmtId="0" fontId="3" fillId="3" borderId="11" xfId="0" applyFont="1" applyFill="1" applyBorder="1" applyAlignment="1" applyProtection="1">
      <alignment horizontal="center" vertical="center" shrinkToFit="1"/>
      <protection/>
    </xf>
    <xf numFmtId="0" fontId="2" fillId="0" borderId="2" xfId="0" applyNumberFormat="1" applyFont="1" applyFill="1" applyBorder="1" applyAlignment="1" applyProtection="1">
      <alignment horizontal="center" vertical="center" shrinkToFit="1"/>
      <protection/>
    </xf>
    <xf numFmtId="0" fontId="2" fillId="0" borderId="15" xfId="0" applyNumberFormat="1" applyFont="1" applyFill="1" applyBorder="1" applyAlignment="1" applyProtection="1">
      <alignment horizontal="center" vertical="center" shrinkToFit="1"/>
      <protection/>
    </xf>
    <xf numFmtId="208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208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3" fillId="0" borderId="2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" fillId="0" borderId="1" xfId="0" applyNumberFormat="1" applyFont="1" applyFill="1" applyBorder="1" applyAlignment="1" applyProtection="1">
      <alignment horizontal="center" vertical="center" shrinkToFit="1"/>
      <protection/>
    </xf>
    <xf numFmtId="0" fontId="2" fillId="10" borderId="11" xfId="0" applyNumberFormat="1" applyFont="1" applyFill="1" applyBorder="1" applyAlignment="1" applyProtection="1">
      <alignment horizontal="center" vertical="center" shrinkToFit="1"/>
      <protection hidden="1"/>
    </xf>
    <xf numFmtId="0" fontId="2" fillId="10" borderId="14" xfId="0" applyNumberFormat="1" applyFont="1" applyFill="1" applyBorder="1" applyAlignment="1" applyProtection="1">
      <alignment horizontal="center" vertical="center" shrinkToFit="1"/>
      <protection hidden="1"/>
    </xf>
    <xf numFmtId="0" fontId="2" fillId="1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0" borderId="15" xfId="0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0" fillId="0" borderId="14" xfId="0" applyBorder="1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hidden="1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9" xfId="0" applyBorder="1" applyAlignment="1">
      <alignment horizontal="center" vertical="center"/>
    </xf>
    <xf numFmtId="199" fontId="2" fillId="10" borderId="9" xfId="0" applyNumberFormat="1" applyFont="1" applyFill="1" applyBorder="1" applyAlignment="1" applyProtection="1" quotePrefix="1">
      <alignment horizontal="center" vertical="center" shrinkToFit="1"/>
      <protection hidden="1"/>
    </xf>
    <xf numFmtId="199" fontId="2" fillId="10" borderId="0" xfId="0" applyNumberFormat="1" applyFont="1" applyFill="1" applyBorder="1" applyAlignment="1" applyProtection="1" quotePrefix="1">
      <alignment horizontal="center" vertical="center" shrinkToFit="1"/>
      <protection hidden="1"/>
    </xf>
    <xf numFmtId="199" fontId="2" fillId="10" borderId="10" xfId="0" applyNumberFormat="1" applyFont="1" applyFill="1" applyBorder="1" applyAlignment="1" applyProtection="1" quotePrefix="1">
      <alignment horizontal="center" vertical="center" shrinkToFit="1"/>
      <protection hidden="1"/>
    </xf>
    <xf numFmtId="0" fontId="0" fillId="0" borderId="11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99" fontId="2" fillId="10" borderId="11" xfId="0" applyNumberFormat="1" applyFont="1" applyFill="1" applyBorder="1" applyAlignment="1" applyProtection="1" quotePrefix="1">
      <alignment horizontal="center" vertical="center" shrinkToFit="1"/>
      <protection hidden="1"/>
    </xf>
    <xf numFmtId="199" fontId="2" fillId="10" borderId="14" xfId="0" applyNumberFormat="1" applyFont="1" applyFill="1" applyBorder="1" applyAlignment="1" applyProtection="1" quotePrefix="1">
      <alignment horizontal="center" vertical="center" shrinkToFit="1"/>
      <protection hidden="1"/>
    </xf>
    <xf numFmtId="199" fontId="2" fillId="10" borderId="4" xfId="0" applyNumberFormat="1" applyFont="1" applyFill="1" applyBorder="1" applyAlignment="1" applyProtection="1" quotePrefix="1">
      <alignment horizontal="center" vertical="center" shrinkToFit="1"/>
      <protection hidden="1"/>
    </xf>
    <xf numFmtId="199" fontId="2" fillId="10" borderId="9" xfId="0" applyNumberFormat="1" applyFont="1" applyFill="1" applyBorder="1" applyAlignment="1" applyProtection="1">
      <alignment horizontal="center" vertical="center" shrinkToFit="1"/>
      <protection hidden="1"/>
    </xf>
    <xf numFmtId="199" fontId="2" fillId="10" borderId="0" xfId="0" applyNumberFormat="1" applyFont="1" applyFill="1" applyBorder="1" applyAlignment="1" applyProtection="1">
      <alignment horizontal="center" vertical="center" shrinkToFit="1"/>
      <protection hidden="1"/>
    </xf>
    <xf numFmtId="199" fontId="2" fillId="10" borderId="10" xfId="0" applyNumberFormat="1" applyFont="1" applyFill="1" applyBorder="1" applyAlignment="1" applyProtection="1">
      <alignment horizontal="center" vertical="center" shrinkToFit="1"/>
      <protection hidden="1"/>
    </xf>
    <xf numFmtId="199" fontId="2" fillId="10" borderId="11" xfId="0" applyNumberFormat="1" applyFont="1" applyFill="1" applyBorder="1" applyAlignment="1" applyProtection="1">
      <alignment horizontal="center" vertical="center" shrinkToFit="1"/>
      <protection hidden="1"/>
    </xf>
    <xf numFmtId="199" fontId="2" fillId="10" borderId="14" xfId="0" applyNumberFormat="1" applyFont="1" applyFill="1" applyBorder="1" applyAlignment="1" applyProtection="1">
      <alignment horizontal="center" vertical="center" shrinkToFit="1"/>
      <protection hidden="1"/>
    </xf>
    <xf numFmtId="199" fontId="2" fillId="1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8" xfId="0" applyBorder="1" applyAlignment="1">
      <alignment horizontal="center"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hidden="1"/>
    </xf>
    <xf numFmtId="0" fontId="2" fillId="0" borderId="14" xfId="0" applyNumberFormat="1" applyFont="1" applyFill="1" applyBorder="1" applyAlignment="1" applyProtection="1">
      <alignment horizontal="center" vertical="center" shrinkToFit="1"/>
      <protection hidden="1"/>
    </xf>
    <xf numFmtId="0" fontId="15" fillId="9" borderId="25" xfId="0" applyFont="1" applyFill="1" applyBorder="1" applyAlignment="1">
      <alignment horizontal="center" vertical="center"/>
    </xf>
    <xf numFmtId="0" fontId="15" fillId="9" borderId="26" xfId="0" applyFont="1" applyFill="1" applyBorder="1" applyAlignment="1">
      <alignment horizontal="center" vertical="center"/>
    </xf>
    <xf numFmtId="0" fontId="15" fillId="9" borderId="27" xfId="0" applyFont="1" applyFill="1" applyBorder="1" applyAlignment="1">
      <alignment horizontal="center" vertical="center"/>
    </xf>
    <xf numFmtId="0" fontId="4" fillId="7" borderId="0" xfId="0" applyFont="1" applyFill="1" applyAlignment="1">
      <alignment horizontal="center" vertical="center"/>
    </xf>
    <xf numFmtId="0" fontId="0" fillId="0" borderId="28" xfId="0" applyBorder="1" applyAlignment="1">
      <alignment vertical="center"/>
    </xf>
    <xf numFmtId="0" fontId="10" fillId="9" borderId="0" xfId="16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179" fontId="2" fillId="0" borderId="9" xfId="0" applyNumberFormat="1" applyFont="1" applyBorder="1" applyAlignment="1" applyProtection="1">
      <alignment horizontal="center" vertical="center" shrinkToFit="1"/>
      <protection locked="0"/>
    </xf>
    <xf numFmtId="179" fontId="2" fillId="0" borderId="0" xfId="0" applyNumberFormat="1" applyFont="1" applyBorder="1" applyAlignment="1" applyProtection="1">
      <alignment horizontal="center" vertical="center" shrinkToFit="1"/>
      <protection locked="0"/>
    </xf>
    <xf numFmtId="179" fontId="2" fillId="0" borderId="10" xfId="0" applyNumberFormat="1" applyFont="1" applyBorder="1" applyAlignment="1" applyProtection="1">
      <alignment horizontal="center" vertical="center" shrinkToFit="1"/>
      <protection locked="0"/>
    </xf>
    <xf numFmtId="179" fontId="2" fillId="0" borderId="1" xfId="0" applyNumberFormat="1" applyFont="1" applyBorder="1" applyAlignment="1" applyProtection="1">
      <alignment horizontal="center" vertical="center" shrinkToFit="1"/>
      <protection/>
    </xf>
    <xf numFmtId="179" fontId="2" fillId="0" borderId="2" xfId="0" applyNumberFormat="1" applyFont="1" applyBorder="1" applyAlignment="1" applyProtection="1">
      <alignment horizontal="center" vertical="center" shrinkToFit="1"/>
      <protection/>
    </xf>
    <xf numFmtId="179" fontId="2" fillId="0" borderId="15" xfId="0" applyNumberFormat="1" applyFont="1" applyBorder="1" applyAlignment="1" applyProtection="1">
      <alignment horizontal="center" vertical="center" shrinkToFit="1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15" xfId="0" applyFont="1" applyFill="1" applyBorder="1" applyAlignment="1" applyProtection="1">
      <alignment horizontal="center" vertical="center" wrapText="1"/>
      <protection/>
    </xf>
    <xf numFmtId="0" fontId="2" fillId="3" borderId="9" xfId="0" applyFont="1" applyFill="1" applyBorder="1" applyAlignment="1" applyProtection="1">
      <alignment horizontal="center" vertical="center" wrapText="1"/>
      <protection/>
    </xf>
    <xf numFmtId="0" fontId="2" fillId="3" borderId="0" xfId="0" applyFont="1" applyFill="1" applyBorder="1" applyAlignment="1" applyProtection="1">
      <alignment horizontal="center" vertical="center" wrapText="1"/>
      <protection/>
    </xf>
    <xf numFmtId="0" fontId="2" fillId="3" borderId="10" xfId="0" applyFont="1" applyFill="1" applyBorder="1" applyAlignment="1" applyProtection="1">
      <alignment horizontal="center" vertical="center" wrapText="1"/>
      <protection/>
    </xf>
    <xf numFmtId="0" fontId="2" fillId="3" borderId="11" xfId="0" applyFont="1" applyFill="1" applyBorder="1" applyAlignment="1" applyProtection="1">
      <alignment horizontal="center" vertical="center" wrapText="1"/>
      <protection/>
    </xf>
    <xf numFmtId="0" fontId="2" fillId="3" borderId="14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179" fontId="2" fillId="0" borderId="11" xfId="0" applyNumberFormat="1" applyFont="1" applyBorder="1" applyAlignment="1" applyProtection="1">
      <alignment horizontal="center" vertical="center" shrinkToFit="1"/>
      <protection locked="0"/>
    </xf>
    <xf numFmtId="179" fontId="2" fillId="0" borderId="14" xfId="0" applyNumberFormat="1" applyFont="1" applyBorder="1" applyAlignment="1" applyProtection="1">
      <alignment horizontal="center" vertical="center" shrinkToFit="1"/>
      <protection locked="0"/>
    </xf>
    <xf numFmtId="179" fontId="2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Fill="1" applyBorder="1" applyAlignment="1" applyProtection="1">
      <alignment vertical="center" shrinkToFit="1"/>
      <protection locked="0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 locked="0"/>
    </xf>
    <xf numFmtId="0" fontId="2" fillId="0" borderId="11" xfId="0" applyFont="1" applyFill="1" applyBorder="1" applyAlignment="1" applyProtection="1">
      <alignment vertical="center" shrinkToFit="1"/>
      <protection locked="0"/>
    </xf>
    <xf numFmtId="0" fontId="2" fillId="0" borderId="14" xfId="0" applyFont="1" applyFill="1" applyBorder="1" applyAlignment="1" applyProtection="1">
      <alignment vertical="center" shrinkToFit="1"/>
      <protection locked="0"/>
    </xf>
    <xf numFmtId="0" fontId="2" fillId="0" borderId="4" xfId="0" applyFont="1" applyFill="1" applyBorder="1" applyAlignment="1" applyProtection="1">
      <alignment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Fill="1" applyBorder="1" applyAlignment="1" applyProtection="1">
      <alignment horizontal="center" vertical="center" shrinkToFit="1"/>
      <protection hidden="1"/>
    </xf>
    <xf numFmtId="0" fontId="2" fillId="0" borderId="10" xfId="0" applyFont="1" applyFill="1" applyBorder="1" applyAlignment="1" applyProtection="1">
      <alignment horizontal="center" vertical="center" shrinkToFit="1"/>
      <protection hidden="1"/>
    </xf>
    <xf numFmtId="179" fontId="2" fillId="0" borderId="11" xfId="0" applyNumberFormat="1" applyFont="1" applyFill="1" applyBorder="1" applyAlignment="1" applyProtection="1">
      <alignment horizontal="center" vertical="center" shrinkToFit="1"/>
      <protection/>
    </xf>
    <xf numFmtId="179" fontId="2" fillId="0" borderId="14" xfId="0" applyNumberFormat="1" applyFont="1" applyFill="1" applyBorder="1" applyAlignment="1" applyProtection="1">
      <alignment horizontal="center" vertical="center" shrinkToFit="1"/>
      <protection/>
    </xf>
    <xf numFmtId="179" fontId="2" fillId="0" borderId="4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Font="1" applyFill="1" applyBorder="1" applyAlignment="1" applyProtection="1">
      <alignment vertical="center" shrinkToFit="1"/>
      <protection locked="0"/>
    </xf>
    <xf numFmtId="0" fontId="2" fillId="0" borderId="2" xfId="0" applyFont="1" applyFill="1" applyBorder="1" applyAlignment="1" applyProtection="1">
      <alignment vertical="center" shrinkToFit="1"/>
      <protection locked="0"/>
    </xf>
    <xf numFmtId="0" fontId="2" fillId="0" borderId="15" xfId="0" applyFont="1" applyFill="1" applyBorder="1" applyAlignment="1" applyProtection="1">
      <alignment vertical="center" shrinkToFit="1"/>
      <protection locked="0"/>
    </xf>
    <xf numFmtId="179" fontId="2" fillId="0" borderId="1" xfId="0" applyNumberFormat="1" applyFont="1" applyBorder="1" applyAlignment="1" applyProtection="1">
      <alignment horizontal="center" vertical="center" shrinkToFit="1"/>
      <protection locked="0"/>
    </xf>
    <xf numFmtId="179" fontId="2" fillId="0" borderId="2" xfId="0" applyNumberFormat="1" applyFont="1" applyBorder="1" applyAlignment="1" applyProtection="1">
      <alignment horizontal="center" vertical="center" shrinkToFit="1"/>
      <protection locked="0"/>
    </xf>
    <xf numFmtId="179" fontId="2" fillId="0" borderId="15" xfId="0" applyNumberFormat="1" applyFont="1" applyBorder="1" applyAlignment="1" applyProtection="1">
      <alignment horizontal="center" vertical="center" shrinkToFit="1"/>
      <protection locked="0"/>
    </xf>
    <xf numFmtId="186" fontId="2" fillId="0" borderId="9" xfId="0" applyNumberFormat="1" applyFont="1" applyFill="1" applyBorder="1" applyAlignment="1" applyProtection="1">
      <alignment horizontal="center" vertical="center" shrinkToFit="1"/>
      <protection/>
    </xf>
    <xf numFmtId="186" fontId="2" fillId="0" borderId="11" xfId="0" applyNumberFormat="1" applyFont="1" applyFill="1" applyBorder="1" applyAlignment="1" applyProtection="1">
      <alignment horizontal="center" vertical="center" shrinkToFit="1"/>
      <protection/>
    </xf>
    <xf numFmtId="186" fontId="2" fillId="0" borderId="14" xfId="0" applyNumberFormat="1" applyFont="1" applyFill="1" applyBorder="1" applyAlignment="1" applyProtection="1">
      <alignment horizontal="center" vertical="center" shrinkToFit="1"/>
      <protection/>
    </xf>
    <xf numFmtId="186" fontId="2" fillId="0" borderId="4" xfId="0" applyNumberFormat="1" applyFont="1" applyFill="1" applyBorder="1" applyAlignment="1" applyProtection="1">
      <alignment horizontal="center" vertical="center" shrinkToFit="1"/>
      <protection/>
    </xf>
    <xf numFmtId="186" fontId="2" fillId="0" borderId="1" xfId="0" applyNumberFormat="1" applyFont="1" applyFill="1" applyBorder="1" applyAlignment="1" applyProtection="1">
      <alignment horizontal="center" vertical="center" shrinkToFit="1"/>
      <protection/>
    </xf>
    <xf numFmtId="186" fontId="2" fillId="0" borderId="2" xfId="0" applyNumberFormat="1" applyFont="1" applyFill="1" applyBorder="1" applyAlignment="1" applyProtection="1">
      <alignment horizontal="center" vertical="center" shrinkToFit="1"/>
      <protection/>
    </xf>
    <xf numFmtId="186" fontId="2" fillId="0" borderId="15" xfId="0" applyNumberFormat="1" applyFont="1" applyFill="1" applyBorder="1" applyAlignment="1" applyProtection="1">
      <alignment horizontal="center" vertical="center" shrinkToFit="1"/>
      <protection/>
    </xf>
    <xf numFmtId="0" fontId="12" fillId="9" borderId="0" xfId="0" applyFont="1" applyFill="1" applyAlignment="1" applyProtection="1">
      <alignment horizontal="center" vertical="center"/>
      <protection/>
    </xf>
    <xf numFmtId="0" fontId="2" fillId="0" borderId="14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5" xfId="0" applyFont="1" applyBorder="1" applyAlignment="1" applyProtection="1">
      <alignment vertical="center" shrinkToFit="1"/>
      <protection locked="0"/>
    </xf>
    <xf numFmtId="0" fontId="2" fillId="0" borderId="7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hidden="1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7" xfId="0" applyNumberFormat="1" applyFont="1" applyBorder="1" applyAlignment="1" applyProtection="1">
      <alignment horizontal="center" vertical="center" shrinkToFit="1"/>
      <protection locked="0"/>
    </xf>
    <xf numFmtId="0" fontId="2" fillId="0" borderId="5" xfId="0" applyNumberFormat="1" applyFont="1" applyBorder="1" applyAlignment="1" applyProtection="1">
      <alignment horizontal="center" vertical="center" shrinkToFit="1"/>
      <protection locked="0"/>
    </xf>
    <xf numFmtId="0" fontId="2" fillId="0" borderId="3" xfId="0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205" fontId="2" fillId="0" borderId="9" xfId="0" applyNumberFormat="1" applyFont="1" applyFill="1" applyBorder="1" applyAlignment="1" applyProtection="1">
      <alignment horizontal="center" vertical="center"/>
      <protection locked="0"/>
    </xf>
    <xf numFmtId="205" fontId="2" fillId="0" borderId="0" xfId="0" applyNumberFormat="1" applyFont="1" applyFill="1" applyBorder="1" applyAlignment="1" applyProtection="1">
      <alignment horizontal="center" vertical="center"/>
      <protection locked="0"/>
    </xf>
    <xf numFmtId="205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10" borderId="9" xfId="0" applyNumberFormat="1" applyFont="1" applyFill="1" applyBorder="1" applyAlignment="1" applyProtection="1">
      <alignment horizontal="center" vertical="center"/>
      <protection hidden="1"/>
    </xf>
    <xf numFmtId="0" fontId="2" fillId="10" borderId="0" xfId="0" applyNumberFormat="1" applyFont="1" applyFill="1" applyBorder="1" applyAlignment="1" applyProtection="1">
      <alignment horizontal="center" vertical="center"/>
      <protection hidden="1"/>
    </xf>
    <xf numFmtId="0" fontId="2" fillId="10" borderId="10" xfId="0" applyNumberFormat="1" applyFont="1" applyFill="1" applyBorder="1" applyAlignment="1" applyProtection="1">
      <alignment horizontal="center" vertical="center"/>
      <protection hidden="1"/>
    </xf>
    <xf numFmtId="205" fontId="2" fillId="10" borderId="9" xfId="0" applyNumberFormat="1" applyFont="1" applyFill="1" applyBorder="1" applyAlignment="1" applyProtection="1">
      <alignment horizontal="center" vertical="center"/>
      <protection hidden="1"/>
    </xf>
    <xf numFmtId="205" fontId="2" fillId="10" borderId="0" xfId="0" applyNumberFormat="1" applyFont="1" applyFill="1" applyBorder="1" applyAlignment="1" applyProtection="1">
      <alignment horizontal="center" vertical="center"/>
      <protection hidden="1"/>
    </xf>
    <xf numFmtId="205" fontId="2" fillId="10" borderId="10" xfId="0" applyNumberFormat="1" applyFont="1" applyFill="1" applyBorder="1" applyAlignment="1" applyProtection="1">
      <alignment horizontal="center" vertical="center"/>
      <protection hidden="1"/>
    </xf>
    <xf numFmtId="179" fontId="2" fillId="0" borderId="9" xfId="0" applyNumberFormat="1" applyFont="1" applyFill="1" applyBorder="1" applyAlignment="1" applyProtection="1">
      <alignment horizontal="center" vertical="center"/>
      <protection locked="0"/>
    </xf>
    <xf numFmtId="179" fontId="2" fillId="0" borderId="0" xfId="0" applyNumberFormat="1" applyFont="1" applyFill="1" applyBorder="1" applyAlignment="1" applyProtection="1">
      <alignment horizontal="center" vertical="center"/>
      <protection locked="0"/>
    </xf>
    <xf numFmtId="17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179" fontId="2" fillId="0" borderId="1" xfId="0" applyNumberFormat="1" applyFont="1" applyFill="1" applyBorder="1" applyAlignment="1" applyProtection="1">
      <alignment horizontal="center" vertical="center"/>
      <protection/>
    </xf>
    <xf numFmtId="179" fontId="2" fillId="0" borderId="2" xfId="0" applyNumberFormat="1" applyFont="1" applyFill="1" applyBorder="1" applyAlignment="1" applyProtection="1">
      <alignment horizontal="center" vertical="center"/>
      <protection/>
    </xf>
    <xf numFmtId="179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91" fontId="3" fillId="10" borderId="0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1" xfId="0" applyNumberFormat="1" applyFont="1" applyFill="1" applyBorder="1" applyAlignment="1" applyProtection="1">
      <alignment horizontal="center" vertical="center" shrinkToFit="1"/>
      <protection/>
    </xf>
    <xf numFmtId="0" fontId="3" fillId="0" borderId="2" xfId="0" applyNumberFormat="1" applyFont="1" applyFill="1" applyBorder="1" applyAlignment="1" applyProtection="1">
      <alignment horizontal="center" vertical="center" shrinkToFit="1"/>
      <protection/>
    </xf>
    <xf numFmtId="179" fontId="3" fillId="0" borderId="0" xfId="0" applyNumberFormat="1" applyFont="1" applyFill="1" applyBorder="1" applyAlignment="1" applyProtection="1">
      <alignment horizontal="left" vertical="center" shrinkToFit="1"/>
      <protection locked="0"/>
    </xf>
    <xf numFmtId="179" fontId="3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3" fillId="3" borderId="7" xfId="0" applyFont="1" applyFill="1" applyBorder="1" applyAlignment="1" applyProtection="1">
      <alignment horizontal="left" vertical="center" shrinkToFit="1"/>
      <protection/>
    </xf>
    <xf numFmtId="0" fontId="3" fillId="3" borderId="5" xfId="0" applyFont="1" applyFill="1" applyBorder="1" applyAlignment="1" applyProtection="1">
      <alignment horizontal="left" vertical="center" shrinkToFit="1"/>
      <protection/>
    </xf>
    <xf numFmtId="0" fontId="3" fillId="3" borderId="3" xfId="0" applyFont="1" applyFill="1" applyBorder="1" applyAlignment="1" applyProtection="1">
      <alignment horizontal="left" vertical="center" shrinkToFit="1"/>
      <protection/>
    </xf>
    <xf numFmtId="179" fontId="6" fillId="0" borderId="11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4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9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10" xfId="0" applyNumberFormat="1" applyFont="1" applyFill="1" applyBorder="1" applyAlignment="1" applyProtection="1">
      <alignment horizontal="center" vertical="center" shrinkToFit="1"/>
      <protection locked="0"/>
    </xf>
    <xf numFmtId="191" fontId="3" fillId="10" borderId="9" xfId="0" applyNumberFormat="1" applyFont="1" applyFill="1" applyBorder="1" applyAlignment="1" applyProtection="1">
      <alignment horizontal="right" vertical="center" shrinkToFit="1"/>
      <protection hidden="1"/>
    </xf>
    <xf numFmtId="191" fontId="3" fillId="10" borderId="0" xfId="0" applyNumberFormat="1" applyFont="1" applyFill="1" applyBorder="1" applyAlignment="1" applyProtection="1">
      <alignment horizontal="right" vertical="center" shrinkToFit="1"/>
      <protection hidden="1"/>
    </xf>
    <xf numFmtId="191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191" fontId="3" fillId="0" borderId="9" xfId="0" applyNumberFormat="1" applyFont="1" applyFill="1" applyBorder="1" applyAlignment="1" applyProtection="1">
      <alignment horizontal="right" vertical="center" shrinkToFit="1"/>
      <protection locked="0"/>
    </xf>
    <xf numFmtId="191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179" fontId="3" fillId="10" borderId="0" xfId="0" applyNumberFormat="1" applyFont="1" applyFill="1" applyBorder="1" applyAlignment="1" applyProtection="1">
      <alignment horizontal="left" vertical="center" shrinkToFit="1"/>
      <protection hidden="1"/>
    </xf>
    <xf numFmtId="179" fontId="3" fillId="10" borderId="10" xfId="0" applyNumberFormat="1" applyFont="1" applyFill="1" applyBorder="1" applyAlignment="1" applyProtection="1">
      <alignment horizontal="left" vertical="center" shrinkToFit="1"/>
      <protection hidden="1"/>
    </xf>
    <xf numFmtId="191" fontId="3" fillId="10" borderId="11" xfId="0" applyNumberFormat="1" applyFont="1" applyFill="1" applyBorder="1" applyAlignment="1" applyProtection="1">
      <alignment horizontal="right" vertical="center" shrinkToFit="1"/>
      <protection hidden="1"/>
    </xf>
    <xf numFmtId="191" fontId="3" fillId="10" borderId="14" xfId="0" applyNumberFormat="1" applyFont="1" applyFill="1" applyBorder="1" applyAlignment="1" applyProtection="1">
      <alignment horizontal="right" vertical="center" shrinkToFit="1"/>
      <protection hidden="1"/>
    </xf>
    <xf numFmtId="179" fontId="3" fillId="10" borderId="14" xfId="0" applyNumberFormat="1" applyFont="1" applyFill="1" applyBorder="1" applyAlignment="1" applyProtection="1">
      <alignment horizontal="left" vertical="center" shrinkToFit="1"/>
      <protection hidden="1"/>
    </xf>
    <xf numFmtId="179" fontId="3" fillId="10" borderId="4" xfId="0" applyNumberFormat="1" applyFont="1" applyFill="1" applyBorder="1" applyAlignment="1" applyProtection="1">
      <alignment horizontal="left" vertical="center" shrinkToFit="1"/>
      <protection hidden="1"/>
    </xf>
    <xf numFmtId="179" fontId="6" fillId="10" borderId="9" xfId="0" applyNumberFormat="1" applyFont="1" applyFill="1" applyBorder="1" applyAlignment="1" applyProtection="1">
      <alignment horizontal="center" vertical="center" shrinkToFit="1"/>
      <protection hidden="1"/>
    </xf>
    <xf numFmtId="179" fontId="6" fillId="10" borderId="10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179" fontId="6" fillId="10" borderId="11" xfId="0" applyNumberFormat="1" applyFont="1" applyFill="1" applyBorder="1" applyAlignment="1" applyProtection="1">
      <alignment horizontal="center" vertical="center" shrinkToFit="1"/>
      <protection hidden="1"/>
    </xf>
    <xf numFmtId="179" fontId="6" fillId="10" borderId="4" xfId="0" applyNumberFormat="1" applyFont="1" applyFill="1" applyBorder="1" applyAlignment="1" applyProtection="1">
      <alignment horizontal="center" vertical="center" shrinkToFit="1"/>
      <protection hidden="1"/>
    </xf>
    <xf numFmtId="191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179" fontId="3" fillId="0" borderId="14" xfId="0" applyNumberFormat="1" applyFont="1" applyFill="1" applyBorder="1" applyAlignment="1" applyProtection="1">
      <alignment horizontal="left" vertical="center" shrinkToFit="1"/>
      <protection locked="0"/>
    </xf>
    <xf numFmtId="179" fontId="3" fillId="0" borderId="4" xfId="0" applyNumberFormat="1" applyFont="1" applyFill="1" applyBorder="1" applyAlignment="1" applyProtection="1">
      <alignment horizontal="left" vertical="center" shrinkToFit="1"/>
      <protection locked="0"/>
    </xf>
    <xf numFmtId="191" fontId="3" fillId="10" borderId="14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Border="1" applyAlignment="1" applyProtection="1">
      <alignment horizontal="center" vertical="center" shrinkToFit="1"/>
      <protection hidden="1"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2" fillId="0" borderId="10" xfId="0" applyFont="1" applyBorder="1" applyAlignment="1" applyProtection="1">
      <alignment horizontal="center" vertical="center" shrinkToFit="1"/>
      <protection hidden="1"/>
    </xf>
    <xf numFmtId="0" fontId="2" fillId="0" borderId="9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10" xfId="0" applyNumberFormat="1" applyFont="1" applyFill="1" applyBorder="1" applyAlignment="1" applyProtection="1">
      <alignment horizontal="center" vertical="center"/>
      <protection hidden="1"/>
    </xf>
    <xf numFmtId="0" fontId="12" fillId="9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right" vertical="top"/>
      <protection/>
    </xf>
    <xf numFmtId="0" fontId="3" fillId="3" borderId="7" xfId="0" applyFont="1" applyFill="1" applyBorder="1" applyAlignment="1" applyProtection="1">
      <alignment vertical="center" shrinkToFit="1"/>
      <protection/>
    </xf>
    <xf numFmtId="0" fontId="3" fillId="3" borderId="5" xfId="0" applyFont="1" applyFill="1" applyBorder="1" applyAlignment="1" applyProtection="1">
      <alignment vertical="center" shrinkToFit="1"/>
      <protection/>
    </xf>
    <xf numFmtId="0" fontId="3" fillId="3" borderId="3" xfId="0" applyFont="1" applyFill="1" applyBorder="1" applyAlignment="1" applyProtection="1">
      <alignment vertical="center" shrinkToFit="1"/>
      <protection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205" fontId="2" fillId="0" borderId="11" xfId="0" applyNumberFormat="1" applyFont="1" applyFill="1" applyBorder="1" applyAlignment="1" applyProtection="1">
      <alignment horizontal="center" vertical="center"/>
      <protection locked="0"/>
    </xf>
    <xf numFmtId="205" fontId="2" fillId="0" borderId="14" xfId="0" applyNumberFormat="1" applyFont="1" applyFill="1" applyBorder="1" applyAlignment="1" applyProtection="1">
      <alignment horizontal="center" vertical="center"/>
      <protection locked="0"/>
    </xf>
    <xf numFmtId="205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10" borderId="11" xfId="0" applyNumberFormat="1" applyFont="1" applyFill="1" applyBorder="1" applyAlignment="1" applyProtection="1">
      <alignment horizontal="center" vertical="center"/>
      <protection hidden="1"/>
    </xf>
    <xf numFmtId="0" fontId="2" fillId="10" borderId="14" xfId="0" applyNumberFormat="1" applyFont="1" applyFill="1" applyBorder="1" applyAlignment="1" applyProtection="1">
      <alignment horizontal="center" vertical="center"/>
      <protection hidden="1"/>
    </xf>
    <xf numFmtId="0" fontId="2" fillId="1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15" xfId="0" applyNumberFormat="1" applyFont="1" applyFill="1" applyBorder="1" applyAlignment="1" applyProtection="1">
      <alignment horizontal="center" vertical="center" shrinkToFit="1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 wrapText="1" shrinkToFit="1"/>
      <protection/>
    </xf>
    <xf numFmtId="0" fontId="6" fillId="0" borderId="1" xfId="0" applyNumberFormat="1" applyFont="1" applyFill="1" applyBorder="1" applyAlignment="1" applyProtection="1">
      <alignment horizontal="center" vertical="center" shrinkToFit="1"/>
      <protection/>
    </xf>
    <xf numFmtId="0" fontId="6" fillId="0" borderId="15" xfId="0" applyNumberFormat="1" applyFont="1" applyFill="1" applyBorder="1" applyAlignment="1" applyProtection="1">
      <alignment horizontal="center" vertical="center" shrinkToFit="1"/>
      <protection/>
    </xf>
    <xf numFmtId="0" fontId="3" fillId="3" borderId="2" xfId="0" applyFont="1" applyFill="1" applyBorder="1" applyAlignment="1" applyProtection="1">
      <alignment horizontal="center" vertical="center" wrapText="1"/>
      <protection/>
    </xf>
    <xf numFmtId="0" fontId="3" fillId="3" borderId="15" xfId="0" applyFont="1" applyFill="1" applyBorder="1" applyAlignment="1" applyProtection="1">
      <alignment horizontal="center" vertical="center" wrapText="1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0" fontId="3" fillId="3" borderId="14" xfId="0" applyFont="1" applyFill="1" applyBorder="1" applyAlignment="1" applyProtection="1">
      <alignment horizontal="center" vertical="center" wrapText="1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191" fontId="3" fillId="0" borderId="11" xfId="0" applyNumberFormat="1" applyFont="1" applyFill="1" applyBorder="1" applyAlignment="1" applyProtection="1">
      <alignment horizontal="right" vertical="center" shrinkToFit="1"/>
      <protection locked="0"/>
    </xf>
    <xf numFmtId="191" fontId="3" fillId="0" borderId="14" xfId="0" applyNumberFormat="1" applyFont="1" applyFill="1" applyBorder="1" applyAlignment="1" applyProtection="1">
      <alignment horizontal="right" vertical="center" shrinkToFit="1"/>
      <protection locked="0"/>
    </xf>
    <xf numFmtId="179" fontId="2" fillId="0" borderId="11" xfId="0" applyNumberFormat="1" applyFont="1" applyFill="1" applyBorder="1" applyAlignment="1" applyProtection="1">
      <alignment horizontal="center" vertical="center"/>
      <protection locked="0"/>
    </xf>
    <xf numFmtId="179" fontId="2" fillId="0" borderId="14" xfId="0" applyNumberFormat="1" applyFont="1" applyFill="1" applyBorder="1" applyAlignment="1" applyProtection="1">
      <alignment horizontal="center" vertical="center"/>
      <protection locked="0"/>
    </xf>
    <xf numFmtId="179" fontId="2" fillId="0" borderId="4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 shrinkToFit="1"/>
      <protection/>
    </xf>
    <xf numFmtId="0" fontId="6" fillId="3" borderId="5" xfId="0" applyFont="1" applyFill="1" applyBorder="1" applyAlignment="1" applyProtection="1">
      <alignment horizontal="center" vertical="center" shrinkToFit="1"/>
      <protection/>
    </xf>
    <xf numFmtId="0" fontId="6" fillId="3" borderId="3" xfId="0" applyFont="1" applyFill="1" applyBorder="1" applyAlignment="1" applyProtection="1">
      <alignment horizontal="center" vertical="center" shrinkToFit="1"/>
      <protection/>
    </xf>
    <xf numFmtId="177" fontId="2" fillId="0" borderId="9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91" fontId="3" fillId="0" borderId="1" xfId="0" applyNumberFormat="1" applyFont="1" applyFill="1" applyBorder="1" applyAlignment="1" applyProtection="1">
      <alignment horizontal="right" vertical="center" shrinkToFit="1"/>
      <protection/>
    </xf>
    <xf numFmtId="191" fontId="3" fillId="0" borderId="2" xfId="0" applyNumberFormat="1" applyFont="1" applyFill="1" applyBorder="1" applyAlignment="1" applyProtection="1">
      <alignment horizontal="right" vertical="center" shrinkToFit="1"/>
      <protection/>
    </xf>
    <xf numFmtId="179" fontId="3" fillId="0" borderId="2" xfId="0" applyNumberFormat="1" applyFont="1" applyFill="1" applyBorder="1" applyAlignment="1" applyProtection="1">
      <alignment horizontal="left" vertical="center" shrinkToFit="1"/>
      <protection/>
    </xf>
    <xf numFmtId="179" fontId="3" fillId="0" borderId="15" xfId="0" applyNumberFormat="1" applyFont="1" applyFill="1" applyBorder="1" applyAlignment="1" applyProtection="1">
      <alignment horizontal="left" vertical="center" shrinkToFit="1"/>
      <protection/>
    </xf>
    <xf numFmtId="179" fontId="6" fillId="0" borderId="1" xfId="0" applyNumberFormat="1" applyFont="1" applyFill="1" applyBorder="1" applyAlignment="1" applyProtection="1">
      <alignment horizontal="center" vertical="center" shrinkToFit="1"/>
      <protection locked="0"/>
    </xf>
    <xf numFmtId="179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/>
    </xf>
    <xf numFmtId="0" fontId="6" fillId="3" borderId="2" xfId="0" applyFont="1" applyFill="1" applyBorder="1" applyAlignment="1" applyProtection="1">
      <alignment horizontal="center" vertical="center" wrapText="1"/>
      <protection/>
    </xf>
    <xf numFmtId="0" fontId="6" fillId="3" borderId="15" xfId="0" applyFont="1" applyFill="1" applyBorder="1" applyAlignment="1" applyProtection="1">
      <alignment horizontal="center" vertical="center" wrapText="1"/>
      <protection/>
    </xf>
    <xf numFmtId="0" fontId="6" fillId="3" borderId="11" xfId="0" applyFont="1" applyFill="1" applyBorder="1" applyAlignment="1" applyProtection="1">
      <alignment horizontal="center" vertical="center" wrapText="1"/>
      <protection/>
    </xf>
    <xf numFmtId="0" fontId="6" fillId="3" borderId="14" xfId="0" applyFont="1" applyFill="1" applyBorder="1" applyAlignment="1" applyProtection="1">
      <alignment horizontal="center" vertical="center" wrapText="1"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179" fontId="6" fillId="0" borderId="1" xfId="0" applyNumberFormat="1" applyFont="1" applyFill="1" applyBorder="1" applyAlignment="1" applyProtection="1">
      <alignment horizontal="center" vertical="center" shrinkToFit="1"/>
      <protection/>
    </xf>
    <xf numFmtId="179" fontId="6" fillId="0" borderId="15" xfId="0" applyNumberFormat="1" applyFont="1" applyFill="1" applyBorder="1" applyAlignment="1" applyProtection="1">
      <alignment horizontal="center" vertical="center" shrinkToFit="1"/>
      <protection/>
    </xf>
    <xf numFmtId="191" fontId="3" fillId="0" borderId="14" xfId="0" applyNumberFormat="1" applyFont="1" applyFill="1" applyBorder="1" applyAlignment="1" applyProtection="1">
      <alignment horizontal="center" vertical="center" shrinkToFit="1"/>
      <protection/>
    </xf>
    <xf numFmtId="179" fontId="3" fillId="0" borderId="0" xfId="0" applyNumberFormat="1" applyFont="1" applyFill="1" applyBorder="1" applyAlignment="1" applyProtection="1">
      <alignment horizontal="left" vertical="center" shrinkToFit="1"/>
      <protection/>
    </xf>
    <xf numFmtId="179" fontId="3" fillId="0" borderId="10" xfId="0" applyNumberFormat="1" applyFont="1" applyFill="1" applyBorder="1" applyAlignment="1" applyProtection="1">
      <alignment horizontal="left" vertical="center" shrinkToFit="1"/>
      <protection/>
    </xf>
    <xf numFmtId="179" fontId="3" fillId="0" borderId="14" xfId="0" applyNumberFormat="1" applyFont="1" applyFill="1" applyBorder="1" applyAlignment="1" applyProtection="1">
      <alignment horizontal="left" vertical="center" shrinkToFit="1"/>
      <protection/>
    </xf>
    <xf numFmtId="179" fontId="3" fillId="0" borderId="4" xfId="0" applyNumberFormat="1" applyFont="1" applyFill="1" applyBorder="1" applyAlignment="1" applyProtection="1">
      <alignment horizontal="left" vertical="center" shrinkToFit="1"/>
      <protection/>
    </xf>
    <xf numFmtId="179" fontId="6" fillId="0" borderId="11" xfId="0" applyNumberFormat="1" applyFont="1" applyFill="1" applyBorder="1" applyAlignment="1" applyProtection="1">
      <alignment horizontal="center" vertical="center" shrinkToFit="1"/>
      <protection/>
    </xf>
    <xf numFmtId="179" fontId="6" fillId="0" borderId="4" xfId="0" applyNumberFormat="1" applyFont="1" applyFill="1" applyBorder="1" applyAlignment="1" applyProtection="1">
      <alignment horizontal="center" vertical="center" shrinkToFit="1"/>
      <protection/>
    </xf>
    <xf numFmtId="179" fontId="6" fillId="0" borderId="9" xfId="0" applyNumberFormat="1" applyFont="1" applyFill="1" applyBorder="1" applyAlignment="1" applyProtection="1">
      <alignment horizontal="center" vertical="center" shrinkToFit="1"/>
      <protection/>
    </xf>
    <xf numFmtId="179" fontId="6" fillId="0" borderId="10" xfId="0" applyNumberFormat="1" applyFont="1" applyFill="1" applyBorder="1" applyAlignment="1" applyProtection="1">
      <alignment horizontal="center" vertical="center" shrinkToFit="1"/>
      <protection/>
    </xf>
    <xf numFmtId="191" fontId="3" fillId="0" borderId="9" xfId="0" applyNumberFormat="1" applyFont="1" applyFill="1" applyBorder="1" applyAlignment="1" applyProtection="1">
      <alignment horizontal="right" vertical="center" shrinkToFit="1"/>
      <protection/>
    </xf>
    <xf numFmtId="191" fontId="3" fillId="0" borderId="0" xfId="0" applyNumberFormat="1" applyFont="1" applyFill="1" applyBorder="1" applyAlignment="1" applyProtection="1">
      <alignment horizontal="right" vertical="center" shrinkToFit="1"/>
      <protection/>
    </xf>
    <xf numFmtId="191" fontId="3" fillId="0" borderId="11" xfId="0" applyNumberFormat="1" applyFont="1" applyFill="1" applyBorder="1" applyAlignment="1" applyProtection="1">
      <alignment horizontal="right" vertical="center" shrinkToFit="1"/>
      <protection/>
    </xf>
    <xf numFmtId="191" fontId="3" fillId="0" borderId="14" xfId="0" applyNumberFormat="1" applyFont="1" applyFill="1" applyBorder="1" applyAlignment="1" applyProtection="1">
      <alignment horizontal="right" vertical="center" shrinkToFit="1"/>
      <protection/>
    </xf>
    <xf numFmtId="191" fontId="3" fillId="0" borderId="2" xfId="0" applyNumberFormat="1" applyFont="1" applyFill="1" applyBorder="1" applyAlignment="1" applyProtection="1">
      <alignment horizontal="center" vertical="center" shrinkToFit="1"/>
      <protection/>
    </xf>
    <xf numFmtId="191" fontId="3" fillId="0" borderId="0" xfId="0" applyNumberFormat="1" applyFont="1" applyFill="1" applyBorder="1" applyAlignment="1" applyProtection="1">
      <alignment horizontal="center" vertical="center" shrinkToFit="1"/>
      <protection/>
    </xf>
    <xf numFmtId="179" fontId="3" fillId="0" borderId="2" xfId="0" applyNumberFormat="1" applyFont="1" applyFill="1" applyBorder="1" applyAlignment="1" applyProtection="1">
      <alignment horizontal="left" vertical="center" shrinkToFit="1"/>
      <protection locked="0"/>
    </xf>
    <xf numFmtId="179" fontId="3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4" xfId="0" applyNumberFormat="1" applyFont="1" applyFill="1" applyBorder="1" applyAlignment="1" applyProtection="1">
      <alignment horizontal="center" vertical="center"/>
      <protection/>
    </xf>
    <xf numFmtId="0" fontId="6" fillId="3" borderId="9" xfId="0" applyFont="1" applyFill="1" applyBorder="1" applyAlignment="1" applyProtection="1">
      <alignment horizontal="center" vertical="center" shrinkToFit="1"/>
      <protection/>
    </xf>
    <xf numFmtId="0" fontId="6" fillId="3" borderId="0" xfId="0" applyFont="1" applyFill="1" applyBorder="1" applyAlignment="1" applyProtection="1">
      <alignment horizontal="center" vertical="center" shrinkToFit="1"/>
      <protection/>
    </xf>
    <xf numFmtId="0" fontId="6" fillId="3" borderId="10" xfId="0" applyFont="1" applyFill="1" applyBorder="1" applyAlignment="1" applyProtection="1">
      <alignment horizontal="center" vertical="center" shrinkToFit="1"/>
      <protection/>
    </xf>
    <xf numFmtId="0" fontId="15" fillId="2" borderId="25" xfId="0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/>
    </xf>
    <xf numFmtId="0" fontId="15" fillId="2" borderId="27" xfId="0" applyFont="1" applyFill="1" applyBorder="1" applyAlignment="1">
      <alignment horizontal="center" vertical="center"/>
    </xf>
    <xf numFmtId="0" fontId="6" fillId="3" borderId="7" xfId="0" applyFont="1" applyFill="1" applyBorder="1" applyAlignment="1" applyProtection="1">
      <alignment vertical="center" shrinkToFit="1"/>
      <protection/>
    </xf>
    <xf numFmtId="0" fontId="6" fillId="3" borderId="5" xfId="0" applyFont="1" applyFill="1" applyBorder="1" applyAlignment="1" applyProtection="1">
      <alignment vertical="center" shrinkToFit="1"/>
      <protection/>
    </xf>
    <xf numFmtId="0" fontId="6" fillId="3" borderId="3" xfId="0" applyFont="1" applyFill="1" applyBorder="1" applyAlignment="1" applyProtection="1">
      <alignment vertical="center" shrinkToFit="1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179" fontId="2" fillId="0" borderId="1" xfId="0" applyNumberFormat="1" applyFont="1" applyFill="1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179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shrinkToFit="1"/>
      <protection/>
    </xf>
    <xf numFmtId="0" fontId="6" fillId="3" borderId="2" xfId="0" applyFont="1" applyFill="1" applyBorder="1" applyAlignment="1" applyProtection="1">
      <alignment horizontal="center" vertical="center" shrinkToFit="1"/>
      <protection/>
    </xf>
    <xf numFmtId="0" fontId="6" fillId="3" borderId="15" xfId="0" applyFont="1" applyFill="1" applyBorder="1" applyAlignment="1" applyProtection="1">
      <alignment horizontal="center" vertical="center" shrinkToFit="1"/>
      <protection/>
    </xf>
    <xf numFmtId="0" fontId="6" fillId="3" borderId="11" xfId="0" applyFont="1" applyFill="1" applyBorder="1" applyAlignment="1" applyProtection="1">
      <alignment horizontal="center" vertical="center" shrinkToFit="1"/>
      <protection/>
    </xf>
    <xf numFmtId="0" fontId="6" fillId="3" borderId="14" xfId="0" applyFont="1" applyFill="1" applyBorder="1" applyAlignment="1" applyProtection="1">
      <alignment horizontal="center" vertical="center" shrinkToFit="1"/>
      <protection/>
    </xf>
    <xf numFmtId="0" fontId="6" fillId="3" borderId="4" xfId="0" applyFont="1" applyFill="1" applyBorder="1" applyAlignment="1" applyProtection="1">
      <alignment horizontal="center" vertical="center" shrinkToFit="1"/>
      <protection/>
    </xf>
    <xf numFmtId="0" fontId="2" fillId="0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Fill="1" applyBorder="1" applyAlignment="1" applyProtection="1">
      <alignment horizontal="center" vertical="center"/>
      <protection locked="0"/>
    </xf>
    <xf numFmtId="191" fontId="3" fillId="0" borderId="2" xfId="0" applyNumberFormat="1" applyFont="1" applyFill="1" applyBorder="1" applyAlignment="1" applyProtection="1">
      <alignment horizontal="center" vertical="center" shrinkToFit="1"/>
      <protection locked="0"/>
    </xf>
    <xf numFmtId="191" fontId="3" fillId="0" borderId="1" xfId="0" applyNumberFormat="1" applyFont="1" applyFill="1" applyBorder="1" applyAlignment="1" applyProtection="1">
      <alignment horizontal="right" vertical="center" shrinkToFit="1"/>
      <protection locked="0"/>
    </xf>
    <xf numFmtId="191" fontId="3" fillId="0" borderId="2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9" borderId="0" xfId="0" applyFont="1" applyFill="1" applyBorder="1" applyAlignment="1" applyProtection="1">
      <alignment horizontal="center" vertical="center"/>
      <protection/>
    </xf>
    <xf numFmtId="0" fontId="6" fillId="3" borderId="7" xfId="0" applyFont="1" applyFill="1" applyBorder="1" applyAlignment="1" applyProtection="1">
      <alignment horizontal="left" vertical="center" shrinkToFit="1"/>
      <protection/>
    </xf>
    <xf numFmtId="0" fontId="6" fillId="3" borderId="5" xfId="0" applyFont="1" applyFill="1" applyBorder="1" applyAlignment="1" applyProtection="1">
      <alignment horizontal="left" vertical="center" shrinkToFit="1"/>
      <protection/>
    </xf>
    <xf numFmtId="0" fontId="6" fillId="3" borderId="3" xfId="0" applyFont="1" applyFill="1" applyBorder="1" applyAlignment="1" applyProtection="1">
      <alignment horizontal="left" vertical="center" shrinkToFit="1"/>
      <protection/>
    </xf>
    <xf numFmtId="177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4" xfId="0" applyNumberFormat="1" applyFont="1" applyFill="1" applyBorder="1" applyAlignment="1" applyProtection="1">
      <alignment horizontal="center" vertical="center"/>
      <protection/>
    </xf>
    <xf numFmtId="177" fontId="2" fillId="0" borderId="4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vertical="center" shrinkToFit="1"/>
      <protection locked="0"/>
    </xf>
    <xf numFmtId="0" fontId="2" fillId="0" borderId="5" xfId="0" applyNumberFormat="1" applyFont="1" applyBorder="1" applyAlignment="1" applyProtection="1">
      <alignment vertical="center" shrinkToFit="1"/>
      <protection locked="0"/>
    </xf>
    <xf numFmtId="0" fontId="2" fillId="0" borderId="3" xfId="0" applyNumberFormat="1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2" fontId="2" fillId="0" borderId="9" xfId="0" applyNumberFormat="1" applyFont="1" applyFill="1" applyBorder="1" applyAlignment="1" applyProtection="1">
      <alignment horizontal="center" vertical="center" shrinkToFit="1"/>
      <protection/>
    </xf>
    <xf numFmtId="2" fontId="2" fillId="0" borderId="0" xfId="0" applyNumberFormat="1" applyFont="1" applyFill="1" applyBorder="1" applyAlignment="1" applyProtection="1">
      <alignment horizontal="center" vertical="center" shrinkToFit="1"/>
      <protection/>
    </xf>
    <xf numFmtId="2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12" fillId="9" borderId="0" xfId="0" applyFont="1" applyFill="1" applyBorder="1" applyAlignment="1" applyProtection="1">
      <alignment horizontal="center" vertical="center" shrinkToFit="1"/>
      <protection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178" fontId="2" fillId="0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0" fillId="0" borderId="15" xfId="0" applyBorder="1" applyAlignment="1" applyProtection="1">
      <alignment vertical="center" shrinkToFit="1"/>
      <protection locked="0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179" fontId="2" fillId="0" borderId="6" xfId="0" applyNumberFormat="1" applyFont="1" applyFill="1" applyBorder="1" applyAlignment="1" applyProtection="1">
      <alignment horizontal="center" vertical="center" shrinkToFit="1"/>
      <protection locked="0"/>
    </xf>
    <xf numFmtId="2" fontId="2" fillId="0" borderId="6" xfId="0" applyNumberFormat="1" applyFont="1" applyFill="1" applyBorder="1" applyAlignment="1" applyProtection="1">
      <alignment horizontal="center" vertical="center" shrinkToFit="1"/>
      <protection/>
    </xf>
    <xf numFmtId="0" fontId="2" fillId="3" borderId="5" xfId="0" applyNumberFormat="1" applyFont="1" applyFill="1" applyBorder="1" applyAlignment="1" applyProtection="1">
      <alignment horizontal="center" vertical="center" shrinkToFit="1"/>
      <protection/>
    </xf>
    <xf numFmtId="0" fontId="2" fillId="3" borderId="7" xfId="0" applyNumberFormat="1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>
      <alignment vertical="center"/>
    </xf>
    <xf numFmtId="2" fontId="2" fillId="0" borderId="11" xfId="0" applyNumberFormat="1" applyFont="1" applyFill="1" applyBorder="1" applyAlignment="1" applyProtection="1">
      <alignment horizontal="center" vertical="center" shrinkToFit="1"/>
      <protection/>
    </xf>
    <xf numFmtId="2" fontId="2" fillId="0" borderId="14" xfId="0" applyNumberFormat="1" applyFont="1" applyFill="1" applyBorder="1" applyAlignment="1" applyProtection="1">
      <alignment horizontal="center" vertical="center" shrinkToFit="1"/>
      <protection/>
    </xf>
    <xf numFmtId="2" fontId="2" fillId="0" borderId="4" xfId="0" applyNumberFormat="1" applyFont="1" applyFill="1" applyBorder="1" applyAlignment="1" applyProtection="1">
      <alignment horizontal="center" vertical="center" shrinkToFit="1"/>
      <protection/>
    </xf>
    <xf numFmtId="178" fontId="2" fillId="0" borderId="14" xfId="0" applyNumberFormat="1" applyFont="1" applyFill="1" applyBorder="1" applyAlignment="1" applyProtection="1">
      <alignment horizontal="right" vertical="center"/>
      <protection locked="0"/>
    </xf>
    <xf numFmtId="178" fontId="2" fillId="0" borderId="4" xfId="0" applyNumberFormat="1" applyFont="1" applyFill="1" applyBorder="1" applyAlignment="1" applyProtection="1">
      <alignment horizontal="right" vertical="center"/>
      <protection locked="0"/>
    </xf>
    <xf numFmtId="178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178" fontId="2" fillId="0" borderId="14" xfId="0" applyNumberFormat="1" applyFont="1" applyFill="1" applyBorder="1" applyAlignment="1" applyProtection="1">
      <alignment horizontal="center" vertical="center" shrinkToFit="1"/>
      <protection locked="0"/>
    </xf>
    <xf numFmtId="178" fontId="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7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5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3" xfId="0" applyNumberFormat="1" applyFont="1" applyFill="1" applyBorder="1" applyAlignment="1" applyProtection="1">
      <alignment horizontal="right" vertical="center" shrinkToFit="1"/>
      <protection locked="0"/>
    </xf>
    <xf numFmtId="0" fontId="2" fillId="3" borderId="1" xfId="0" applyNumberFormat="1" applyFont="1" applyFill="1" applyBorder="1" applyAlignment="1" applyProtection="1">
      <alignment horizontal="center" vertical="center" shrinkToFit="1"/>
      <protection/>
    </xf>
    <xf numFmtId="0" fontId="2" fillId="3" borderId="2" xfId="0" applyNumberFormat="1" applyFont="1" applyFill="1" applyBorder="1" applyAlignment="1" applyProtection="1">
      <alignment horizontal="center" vertical="center" shrinkToFit="1"/>
      <protection/>
    </xf>
    <xf numFmtId="0" fontId="2" fillId="3" borderId="15" xfId="0" applyNumberFormat="1" applyFont="1" applyFill="1" applyBorder="1" applyAlignment="1" applyProtection="1">
      <alignment horizontal="center" vertical="center" shrinkToFit="1"/>
      <protection/>
    </xf>
    <xf numFmtId="0" fontId="2" fillId="3" borderId="11" xfId="0" applyNumberFormat="1" applyFont="1" applyFill="1" applyBorder="1" applyAlignment="1" applyProtection="1">
      <alignment horizontal="center" vertical="center" shrinkToFit="1"/>
      <protection/>
    </xf>
    <xf numFmtId="0" fontId="2" fillId="3" borderId="14" xfId="0" applyNumberFormat="1" applyFont="1" applyFill="1" applyBorder="1" applyAlignment="1" applyProtection="1">
      <alignment horizontal="center" vertical="center" shrinkToFit="1"/>
      <protection/>
    </xf>
    <xf numFmtId="0" fontId="2" fillId="3" borderId="4" xfId="0" applyNumberFormat="1" applyFont="1" applyFill="1" applyBorder="1" applyAlignment="1" applyProtection="1">
      <alignment horizontal="center" vertical="center" shrinkToFit="1"/>
      <protection/>
    </xf>
    <xf numFmtId="0" fontId="2" fillId="3" borderId="1" xfId="0" applyFont="1" applyFill="1" applyBorder="1" applyAlignment="1" applyProtection="1">
      <alignment horizontal="center" vertical="center" wrapText="1" shrinkToFit="1"/>
      <protection/>
    </xf>
    <xf numFmtId="0" fontId="2" fillId="3" borderId="2" xfId="0" applyFont="1" applyFill="1" applyBorder="1" applyAlignment="1" applyProtection="1">
      <alignment horizontal="center" vertical="center" wrapText="1" shrinkToFit="1"/>
      <protection/>
    </xf>
    <xf numFmtId="0" fontId="2" fillId="3" borderId="15" xfId="0" applyFont="1" applyFill="1" applyBorder="1" applyAlignment="1" applyProtection="1">
      <alignment horizontal="center" vertical="center" wrapText="1" shrinkToFit="1"/>
      <protection/>
    </xf>
    <xf numFmtId="0" fontId="2" fillId="3" borderId="11" xfId="0" applyFont="1" applyFill="1" applyBorder="1" applyAlignment="1" applyProtection="1">
      <alignment horizontal="center" vertical="center" wrapText="1" shrinkToFit="1"/>
      <protection/>
    </xf>
    <xf numFmtId="0" fontId="2" fillId="3" borderId="14" xfId="0" applyFont="1" applyFill="1" applyBorder="1" applyAlignment="1" applyProtection="1">
      <alignment horizontal="center" vertical="center" wrapText="1" shrinkToFit="1"/>
      <protection/>
    </xf>
    <xf numFmtId="0" fontId="2" fillId="3" borderId="4" xfId="0" applyFont="1" applyFill="1" applyBorder="1" applyAlignment="1" applyProtection="1">
      <alignment horizontal="center" vertical="center" wrapText="1" shrinkToFit="1"/>
      <protection/>
    </xf>
    <xf numFmtId="0" fontId="3" fillId="3" borderId="1" xfId="0" applyFont="1" applyFill="1" applyBorder="1" applyAlignment="1" applyProtection="1">
      <alignment horizontal="center" vertical="center" wrapText="1" shrinkToFit="1"/>
      <protection/>
    </xf>
    <xf numFmtId="0" fontId="3" fillId="3" borderId="2" xfId="0" applyFont="1" applyFill="1" applyBorder="1" applyAlignment="1" applyProtection="1">
      <alignment horizontal="center" vertical="center" wrapText="1" shrinkToFit="1"/>
      <protection/>
    </xf>
    <xf numFmtId="0" fontId="3" fillId="3" borderId="15" xfId="0" applyFont="1" applyFill="1" applyBorder="1" applyAlignment="1" applyProtection="1">
      <alignment horizontal="center" vertical="center" wrapText="1" shrinkToFit="1"/>
      <protection/>
    </xf>
    <xf numFmtId="0" fontId="3" fillId="3" borderId="11" xfId="0" applyFont="1" applyFill="1" applyBorder="1" applyAlignment="1" applyProtection="1">
      <alignment horizontal="center" vertical="center" wrapText="1" shrinkToFit="1"/>
      <protection/>
    </xf>
    <xf numFmtId="0" fontId="3" fillId="3" borderId="14" xfId="0" applyFont="1" applyFill="1" applyBorder="1" applyAlignment="1" applyProtection="1">
      <alignment horizontal="center" vertical="center" wrapText="1" shrinkToFit="1"/>
      <protection/>
    </xf>
    <xf numFmtId="0" fontId="3" fillId="3" borderId="4" xfId="0" applyFont="1" applyFill="1" applyBorder="1" applyAlignment="1" applyProtection="1">
      <alignment horizontal="center" vertical="center" wrapText="1" shrinkToFit="1"/>
      <protection/>
    </xf>
    <xf numFmtId="0" fontId="2" fillId="3" borderId="3" xfId="0" applyNumberFormat="1" applyFont="1" applyFill="1" applyBorder="1" applyAlignment="1" applyProtection="1">
      <alignment horizontal="center" vertical="center" shrinkToFit="1"/>
      <protection/>
    </xf>
    <xf numFmtId="0" fontId="2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3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left" vertical="center" shrinkToFit="1"/>
      <protection hidden="1"/>
    </xf>
    <xf numFmtId="0" fontId="2" fillId="0" borderId="2" xfId="0" applyFont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left" vertical="center" shrinkToFit="1"/>
      <protection hidden="1"/>
    </xf>
    <xf numFmtId="0" fontId="2" fillId="0" borderId="10" xfId="0" applyFont="1" applyBorder="1" applyAlignment="1" applyProtection="1">
      <alignment horizontal="left" vertical="center" shrinkToFit="1"/>
      <protection hidden="1"/>
    </xf>
    <xf numFmtId="0" fontId="2" fillId="0" borderId="1" xfId="0" applyFont="1" applyBorder="1" applyAlignment="1" applyProtection="1">
      <alignment horizontal="left" vertical="center" shrinkToFit="1"/>
      <protection hidden="1"/>
    </xf>
    <xf numFmtId="197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197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197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1" fontId="2" fillId="10" borderId="9" xfId="0" applyNumberFormat="1" applyFont="1" applyFill="1" applyBorder="1" applyAlignment="1" applyProtection="1">
      <alignment horizontal="center" vertical="center" shrinkToFit="1"/>
      <protection hidden="1"/>
    </xf>
    <xf numFmtId="1" fontId="2" fillId="10" borderId="0" xfId="0" applyNumberFormat="1" applyFont="1" applyFill="1" applyBorder="1" applyAlignment="1" applyProtection="1">
      <alignment horizontal="center" vertical="center" shrinkToFit="1"/>
      <protection hidden="1"/>
    </xf>
    <xf numFmtId="1" fontId="2" fillId="10" borderId="1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9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2" fillId="2" borderId="7" xfId="0" applyFont="1" applyFill="1" applyBorder="1" applyAlignment="1" applyProtection="1">
      <alignment horizontal="center" vertical="center" shrinkToFit="1"/>
      <protection/>
    </xf>
    <xf numFmtId="0" fontId="2" fillId="2" borderId="5" xfId="0" applyFont="1" applyFill="1" applyBorder="1" applyAlignment="1" applyProtection="1">
      <alignment horizontal="center" vertical="center" shrinkToFit="1"/>
      <protection/>
    </xf>
    <xf numFmtId="0" fontId="2" fillId="2" borderId="3" xfId="0" applyFont="1" applyFill="1" applyBorder="1" applyAlignment="1" applyProtection="1">
      <alignment horizontal="center" vertical="center" shrinkToFit="1"/>
      <protection/>
    </xf>
    <xf numFmtId="0" fontId="2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7" xfId="0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5" xfId="0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3" xfId="0" applyNumberFormat="1" applyFont="1" applyFill="1" applyBorder="1" applyAlignment="1" applyProtection="1">
      <alignment horizontal="left" vertical="center" wrapText="1" shrinkToFit="1"/>
      <protection hidden="1"/>
    </xf>
    <xf numFmtId="0" fontId="3" fillId="3" borderId="5" xfId="0" applyFont="1" applyFill="1" applyBorder="1" applyAlignment="1" applyProtection="1">
      <alignment horizontal="center" vertical="center" wrapText="1" shrinkToFit="1"/>
      <protection/>
    </xf>
    <xf numFmtId="0" fontId="3" fillId="3" borderId="3" xfId="0" applyFont="1" applyFill="1" applyBorder="1" applyAlignment="1" applyProtection="1">
      <alignment horizontal="center" vertical="center" wrapText="1" shrinkToFit="1"/>
      <protection/>
    </xf>
    <xf numFmtId="0" fontId="2" fillId="0" borderId="8" xfId="0" applyFont="1" applyFill="1" applyBorder="1" applyAlignment="1" applyProtection="1">
      <alignment horizontal="center" vertical="center" shrinkToFit="1"/>
      <protection locked="0"/>
    </xf>
    <xf numFmtId="197" fontId="2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NumberFormat="1" applyFont="1" applyBorder="1" applyAlignment="1" applyProtection="1">
      <alignment horizontal="center" vertical="center" shrinkToFit="1"/>
      <protection locked="0"/>
    </xf>
    <xf numFmtId="0" fontId="2" fillId="0" borderId="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178" fontId="2" fillId="0" borderId="9" xfId="0" applyNumberFormat="1" applyFont="1" applyFill="1" applyBorder="1" applyAlignment="1" applyProtection="1">
      <alignment horizontal="right" vertical="center"/>
      <protection locked="0"/>
    </xf>
    <xf numFmtId="0" fontId="2" fillId="0" borderId="1" xfId="0" applyNumberFormat="1" applyFont="1" applyBorder="1" applyAlignment="1" applyProtection="1">
      <alignment horizontal="center" vertical="center" shrinkToFit="1"/>
      <protection/>
    </xf>
    <xf numFmtId="0" fontId="2" fillId="0" borderId="2" xfId="0" applyNumberFormat="1" applyFont="1" applyBorder="1" applyAlignment="1" applyProtection="1">
      <alignment horizontal="center" vertical="center" shrinkToFit="1"/>
      <protection/>
    </xf>
    <xf numFmtId="0" fontId="2" fillId="0" borderId="15" xfId="0" applyNumberFormat="1" applyFont="1" applyBorder="1" applyAlignment="1" applyProtection="1">
      <alignment horizontal="center" vertical="center" shrinkToFit="1"/>
      <protection/>
    </xf>
    <xf numFmtId="0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1" xfId="0" applyNumberFormat="1" applyFont="1" applyBorder="1" applyAlignment="1" applyProtection="1">
      <alignment horizontal="center" vertical="center" shrinkToFit="1"/>
      <protection locked="0"/>
    </xf>
    <xf numFmtId="0" fontId="2" fillId="0" borderId="14" xfId="0" applyNumberFormat="1" applyFont="1" applyBorder="1" applyAlignment="1" applyProtection="1">
      <alignment horizontal="center" vertical="center" shrinkToFit="1"/>
      <protection locked="0"/>
    </xf>
    <xf numFmtId="0" fontId="2" fillId="0" borderId="4" xfId="0" applyNumberFormat="1" applyFont="1" applyBorder="1" applyAlignment="1" applyProtection="1">
      <alignment horizontal="center" vertical="center" shrinkToFit="1"/>
      <protection locked="0"/>
    </xf>
    <xf numFmtId="0" fontId="2" fillId="3" borderId="7" xfId="0" applyFont="1" applyFill="1" applyBorder="1" applyAlignment="1" applyProtection="1">
      <alignment horizontal="center" vertical="center" wrapText="1" shrinkToFit="1"/>
      <protection/>
    </xf>
    <xf numFmtId="0" fontId="2" fillId="3" borderId="5" xfId="0" applyFont="1" applyFill="1" applyBorder="1" applyAlignment="1" applyProtection="1">
      <alignment horizontal="center" vertical="center" wrapText="1" shrinkToFit="1"/>
      <protection/>
    </xf>
    <xf numFmtId="0" fontId="2" fillId="3" borderId="3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vertical="center" shrinkToFit="1"/>
    </xf>
    <xf numFmtId="0" fontId="12" fillId="9" borderId="0" xfId="0" applyFont="1" applyFill="1" applyBorder="1" applyAlignment="1" applyProtection="1">
      <alignment horizontal="center" vertical="center" shrinkToFit="1"/>
      <protection hidden="1"/>
    </xf>
    <xf numFmtId="0" fontId="2" fillId="0" borderId="0" xfId="0" applyFont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9" xfId="0" applyNumberFormat="1" applyBorder="1" applyAlignment="1" applyProtection="1">
      <alignment horizontal="center" vertical="center" shrinkToFit="1"/>
      <protection/>
    </xf>
    <xf numFmtId="0" fontId="0" fillId="0" borderId="0" xfId="0" applyNumberFormat="1" applyBorder="1" applyAlignment="1" applyProtection="1">
      <alignment horizontal="center" vertical="center" shrinkToFit="1"/>
      <protection/>
    </xf>
    <xf numFmtId="0" fontId="0" fillId="0" borderId="10" xfId="0" applyNumberFormat="1" applyBorder="1" applyAlignment="1" applyProtection="1">
      <alignment horizontal="center" vertical="center" shrinkToFit="1"/>
      <protection/>
    </xf>
    <xf numFmtId="0" fontId="0" fillId="0" borderId="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8" fontId="2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2" fillId="0" borderId="14" xfId="0" applyFont="1" applyFill="1" applyBorder="1" applyAlignment="1" applyProtection="1">
      <alignment horizontal="left" vertical="center" shrinkToFit="1"/>
      <protection hidden="1"/>
    </xf>
    <xf numFmtId="0" fontId="2" fillId="0" borderId="15" xfId="0" applyFont="1" applyBorder="1" applyAlignment="1" applyProtection="1">
      <alignment horizontal="center" vertical="center" shrinkToFit="1"/>
      <protection/>
    </xf>
    <xf numFmtId="0" fontId="2" fillId="0" borderId="1" xfId="0" applyFont="1" applyBorder="1" applyAlignment="1" applyProtection="1">
      <alignment horizontal="center" vertical="center" shrinkToFi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31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5" xfId="0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10" xfId="0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vertical="center"/>
      <protection locked="0"/>
    </xf>
    <xf numFmtId="0" fontId="15" fillId="9" borderId="25" xfId="0" applyNumberFormat="1" applyFont="1" applyFill="1" applyBorder="1" applyAlignment="1" applyProtection="1">
      <alignment horizontal="center" vertical="center"/>
      <protection/>
    </xf>
    <xf numFmtId="0" fontId="15" fillId="9" borderId="2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30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2" fillId="3" borderId="13" xfId="0" applyNumberFormat="1" applyFont="1" applyFill="1" applyBorder="1" applyAlignment="1" applyProtection="1">
      <alignment horizontal="center" vertical="center" shrinkToFit="1"/>
      <protection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hidden="1"/>
    </xf>
    <xf numFmtId="0" fontId="2" fillId="0" borderId="13" xfId="0" applyNumberFormat="1" applyFont="1" applyFill="1" applyBorder="1" applyAlignment="1" applyProtection="1">
      <alignment horizontal="center" vertical="center" shrinkToFit="1"/>
      <protection hidden="1"/>
    </xf>
    <xf numFmtId="0" fontId="2" fillId="0" borderId="13" xfId="0" applyNumberFormat="1" applyFont="1" applyBorder="1" applyAlignment="1" applyProtection="1">
      <alignment horizontal="center" vertical="center" shrinkToFit="1"/>
      <protection hidden="1"/>
    </xf>
    <xf numFmtId="0" fontId="2" fillId="0" borderId="7" xfId="0" applyNumberFormat="1" applyFont="1" applyBorder="1" applyAlignment="1" applyProtection="1">
      <alignment horizontal="left" vertical="center" wrapText="1" shrinkToFit="1"/>
      <protection hidden="1"/>
    </xf>
    <xf numFmtId="0" fontId="2" fillId="0" borderId="5" xfId="0" applyNumberFormat="1" applyFont="1" applyBorder="1" applyAlignment="1" applyProtection="1">
      <alignment horizontal="left" vertical="center" wrapText="1" shrinkToFit="1"/>
      <protection hidden="1"/>
    </xf>
    <xf numFmtId="0" fontId="2" fillId="0" borderId="3" xfId="0" applyNumberFormat="1" applyFont="1" applyBorder="1" applyAlignment="1" applyProtection="1">
      <alignment horizontal="left" vertical="center" wrapText="1" shrinkToFit="1"/>
      <protection hidden="1"/>
    </xf>
    <xf numFmtId="0" fontId="2" fillId="3" borderId="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10" borderId="7" xfId="0" applyNumberFormat="1" applyFont="1" applyFill="1" applyBorder="1" applyAlignment="1" applyProtection="1">
      <alignment horizontal="center" vertical="center"/>
      <protection hidden="1"/>
    </xf>
    <xf numFmtId="0" fontId="2" fillId="10" borderId="5" xfId="0" applyNumberFormat="1" applyFont="1" applyFill="1" applyBorder="1" applyAlignment="1" applyProtection="1">
      <alignment horizontal="center" vertical="center"/>
      <protection hidden="1"/>
    </xf>
    <xf numFmtId="0" fontId="2" fillId="10" borderId="3" xfId="0" applyNumberFormat="1" applyFont="1" applyFill="1" applyBorder="1" applyAlignment="1" applyProtection="1">
      <alignment horizontal="center" vertical="center"/>
      <protection hidden="1"/>
    </xf>
    <xf numFmtId="0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79" fontId="2" fillId="0" borderId="7" xfId="0" applyNumberFormat="1" applyFont="1" applyFill="1" applyBorder="1" applyAlignment="1" applyProtection="1">
      <alignment horizontal="center" vertical="center"/>
      <protection locked="0"/>
    </xf>
    <xf numFmtId="179" fontId="2" fillId="0" borderId="5" xfId="0" applyNumberFormat="1" applyFont="1" applyFill="1" applyBorder="1" applyAlignment="1" applyProtection="1">
      <alignment horizontal="center" vertical="center"/>
      <protection locked="0"/>
    </xf>
    <xf numFmtId="179" fontId="2" fillId="0" borderId="3" xfId="0" applyNumberFormat="1" applyFont="1" applyFill="1" applyBorder="1" applyAlignment="1" applyProtection="1">
      <alignment horizontal="center" vertical="center"/>
      <protection locked="0"/>
    </xf>
    <xf numFmtId="178" fontId="2" fillId="0" borderId="7" xfId="0" applyNumberFormat="1" applyFont="1" applyFill="1" applyBorder="1" applyAlignment="1" applyProtection="1">
      <alignment horizontal="right" vertical="center"/>
      <protection hidden="1" locked="0"/>
    </xf>
    <xf numFmtId="178" fontId="2" fillId="0" borderId="5" xfId="0" applyNumberFormat="1" applyFont="1" applyFill="1" applyBorder="1" applyAlignment="1" applyProtection="1">
      <alignment horizontal="right" vertical="center"/>
      <protection hidden="1" locked="0"/>
    </xf>
    <xf numFmtId="178" fontId="2" fillId="0" borderId="32" xfId="0" applyNumberFormat="1" applyFont="1" applyFill="1" applyBorder="1" applyAlignment="1" applyProtection="1">
      <alignment horizontal="right" vertical="center"/>
      <protection hidden="1"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3" borderId="22" xfId="0" applyNumberFormat="1" applyFont="1" applyFill="1" applyBorder="1" applyAlignment="1">
      <alignment horizontal="center" vertical="center"/>
    </xf>
    <xf numFmtId="0" fontId="2" fillId="3" borderId="5" xfId="0" applyNumberFormat="1" applyFont="1" applyFill="1" applyBorder="1" applyAlignment="1">
      <alignment horizontal="center" vertical="center"/>
    </xf>
    <xf numFmtId="0" fontId="2" fillId="3" borderId="3" xfId="0" applyNumberFormat="1" applyFont="1" applyFill="1" applyBorder="1" applyAlignment="1">
      <alignment horizontal="center" vertical="center"/>
    </xf>
    <xf numFmtId="0" fontId="2" fillId="3" borderId="22" xfId="0" applyNumberFormat="1" applyFont="1" applyFill="1" applyBorder="1" applyAlignment="1" applyProtection="1">
      <alignment horizontal="center" vertical="center"/>
      <protection/>
    </xf>
    <xf numFmtId="0" fontId="2" fillId="3" borderId="5" xfId="0" applyNumberFormat="1" applyFont="1" applyFill="1" applyBorder="1" applyAlignment="1" applyProtection="1">
      <alignment horizontal="center" vertical="center"/>
      <protection/>
    </xf>
    <xf numFmtId="0" fontId="2" fillId="3" borderId="3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23" xfId="0" applyNumberForma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31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9" fontId="2" fillId="0" borderId="23" xfId="0" applyNumberFormat="1" applyFont="1" applyFill="1" applyBorder="1" applyAlignment="1" applyProtection="1">
      <alignment horizontal="center" vertical="center"/>
      <protection locked="0"/>
    </xf>
    <xf numFmtId="9" fontId="2" fillId="0" borderId="14" xfId="0" applyNumberFormat="1" applyFont="1" applyFill="1" applyBorder="1" applyAlignment="1" applyProtection="1">
      <alignment horizontal="center" vertical="center"/>
      <protection locked="0"/>
    </xf>
    <xf numFmtId="9" fontId="2" fillId="0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0" fillId="2" borderId="13" xfId="0" applyFont="1" applyFill="1" applyBorder="1" applyAlignment="1" applyProtection="1">
      <alignment horizontal="center" vertical="center" wrapText="1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NumberFormat="1" applyFont="1" applyFill="1" applyBorder="1" applyAlignment="1" applyProtection="1">
      <alignment horizontal="right" vertical="center"/>
      <protection locked="0"/>
    </xf>
    <xf numFmtId="0" fontId="0" fillId="0" borderId="4" xfId="0" applyNumberFormat="1" applyFont="1" applyFill="1" applyBorder="1" applyAlignment="1" applyProtection="1">
      <alignment horizontal="right" vertical="center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>
      <alignment horizontal="center" vertical="center"/>
      <protection locked="0"/>
    </xf>
    <xf numFmtId="188" fontId="0" fillId="0" borderId="14" xfId="0" applyNumberFormat="1" applyFont="1" applyFill="1" applyBorder="1" applyAlignment="1" applyProtection="1">
      <alignment horizontal="center" vertical="center"/>
      <protection locked="0"/>
    </xf>
    <xf numFmtId="188" fontId="0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3" borderId="13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right" vertical="center"/>
      <protection locked="0"/>
    </xf>
    <xf numFmtId="188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5" xfId="0" applyNumberFormat="1" applyFont="1" applyFill="1" applyBorder="1" applyAlignment="1" applyProtection="1">
      <alignment horizontal="right" vertical="center"/>
      <protection locked="0"/>
    </xf>
    <xf numFmtId="0" fontId="0" fillId="0" borderId="32" xfId="0" applyNumberFormat="1" applyFont="1" applyFill="1" applyBorder="1" applyAlignment="1" applyProtection="1">
      <alignment horizontal="right" vertical="center"/>
      <protection locked="0"/>
    </xf>
    <xf numFmtId="0" fontId="0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88" fontId="0" fillId="0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33" xfId="0" applyNumberFormat="1" applyFont="1" applyFill="1" applyBorder="1" applyAlignment="1" applyProtection="1">
      <alignment horizontal="right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/>
    </xf>
    <xf numFmtId="0" fontId="0" fillId="3" borderId="5" xfId="0" applyFont="1" applyFill="1" applyBorder="1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center" vertical="center"/>
      <protection/>
    </xf>
    <xf numFmtId="0" fontId="0" fillId="0" borderId="34" xfId="0" applyNumberFormat="1" applyFont="1" applyFill="1" applyBorder="1" applyAlignment="1" applyProtection="1">
      <alignment horizontal="right" vertical="center"/>
      <protection locked="0"/>
    </xf>
    <xf numFmtId="0" fontId="0" fillId="2" borderId="35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36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9" borderId="14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shrinkToFi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/>
    </xf>
    <xf numFmtId="0" fontId="0" fillId="3" borderId="5" xfId="0" applyFont="1" applyFill="1" applyBorder="1" applyAlignment="1" applyProtection="1">
      <alignment horizontal="center" vertical="center" wrapText="1"/>
      <protection/>
    </xf>
    <xf numFmtId="0" fontId="0" fillId="3" borderId="3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vertical="center" shrinkToFit="1"/>
      <protection hidden="1"/>
    </xf>
    <xf numFmtId="0" fontId="0" fillId="0" borderId="2" xfId="0" applyBorder="1" applyAlignment="1" applyProtection="1">
      <alignment vertical="center" shrinkToFit="1"/>
      <protection hidden="1"/>
    </xf>
    <xf numFmtId="0" fontId="0" fillId="0" borderId="15" xfId="0" applyBorder="1" applyAlignment="1" applyProtection="1">
      <alignment vertical="center" shrinkToFit="1"/>
      <protection hidden="1"/>
    </xf>
    <xf numFmtId="0" fontId="0" fillId="0" borderId="11" xfId="0" applyBorder="1" applyAlignment="1" applyProtection="1">
      <alignment horizontal="left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4" xfId="0" applyBorder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12" fillId="9" borderId="0" xfId="0" applyNumberFormat="1" applyFont="1" applyFill="1" applyBorder="1" applyAlignment="1" applyProtection="1">
      <alignment horizontal="center" vertical="center"/>
      <protection hidden="1"/>
    </xf>
    <xf numFmtId="0" fontId="16" fillId="9" borderId="25" xfId="0" applyFont="1" applyFill="1" applyBorder="1" applyAlignment="1">
      <alignment horizontal="center" vertical="center"/>
    </xf>
    <xf numFmtId="0" fontId="16" fillId="9" borderId="26" xfId="0" applyFont="1" applyFill="1" applyBorder="1" applyAlignment="1">
      <alignment horizontal="center" vertical="center"/>
    </xf>
    <xf numFmtId="0" fontId="16" fillId="9" borderId="27" xfId="0" applyFont="1" applyFill="1" applyBorder="1" applyAlignment="1">
      <alignment horizontal="center" vertical="center"/>
    </xf>
    <xf numFmtId="0" fontId="16" fillId="9" borderId="25" xfId="0" applyNumberFormat="1" applyFont="1" applyFill="1" applyBorder="1" applyAlignment="1">
      <alignment horizontal="center" vertical="center"/>
    </xf>
    <xf numFmtId="0" fontId="16" fillId="9" borderId="26" xfId="0" applyNumberFormat="1" applyFont="1" applyFill="1" applyBorder="1" applyAlignment="1">
      <alignment horizontal="center" vertical="center"/>
    </xf>
    <xf numFmtId="0" fontId="16" fillId="9" borderId="27" xfId="0" applyNumberFormat="1" applyFont="1" applyFill="1" applyBorder="1" applyAlignment="1">
      <alignment horizontal="center" vertical="center"/>
    </xf>
    <xf numFmtId="0" fontId="2" fillId="10" borderId="7" xfId="0" applyNumberFormat="1" applyFont="1" applyFill="1" applyBorder="1" applyAlignment="1" applyProtection="1">
      <alignment horizontal="center" vertical="center" shrinkToFit="1"/>
      <protection hidden="1"/>
    </xf>
    <xf numFmtId="0" fontId="2" fillId="10" borderId="5" xfId="0" applyNumberFormat="1" applyFont="1" applyFill="1" applyBorder="1" applyAlignment="1" applyProtection="1">
      <alignment horizontal="center" vertical="center" shrinkToFit="1"/>
      <protection hidden="1"/>
    </xf>
    <xf numFmtId="0" fontId="2" fillId="10" borderId="32" xfId="0" applyNumberFormat="1" applyFont="1" applyFill="1" applyBorder="1" applyAlignment="1" applyProtection="1">
      <alignment horizontal="center" vertical="center" shrinkToFit="1"/>
      <protection hidden="1"/>
    </xf>
    <xf numFmtId="179" fontId="2" fillId="10" borderId="13" xfId="0" applyNumberFormat="1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1" xfId="0" applyNumberFormat="1" applyFont="1" applyFill="1" applyBorder="1" applyAlignment="1" applyProtection="1">
      <alignment horizontal="center" vertical="center"/>
      <protection/>
    </xf>
    <xf numFmtId="0" fontId="2" fillId="3" borderId="2" xfId="0" applyNumberFormat="1" applyFont="1" applyFill="1" applyBorder="1" applyAlignment="1" applyProtection="1">
      <alignment horizontal="center" vertical="center"/>
      <protection/>
    </xf>
    <xf numFmtId="0" fontId="2" fillId="3" borderId="36" xfId="0" applyNumberFormat="1" applyFont="1" applyFill="1" applyBorder="1" applyAlignment="1" applyProtection="1">
      <alignment horizontal="center" vertical="center"/>
      <protection/>
    </xf>
    <xf numFmtId="0" fontId="2" fillId="3" borderId="11" xfId="0" applyNumberFormat="1" applyFont="1" applyFill="1" applyBorder="1" applyAlignment="1" applyProtection="1">
      <alignment horizontal="center" vertical="center"/>
      <protection/>
    </xf>
    <xf numFmtId="0" fontId="2" fillId="3" borderId="14" xfId="0" applyNumberFormat="1" applyFont="1" applyFill="1" applyBorder="1" applyAlignment="1" applyProtection="1">
      <alignment horizontal="center" vertical="center"/>
      <protection/>
    </xf>
    <xf numFmtId="0" fontId="2" fillId="3" borderId="34" xfId="0" applyNumberFormat="1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left" vertical="center" wrapText="1"/>
      <protection hidden="1"/>
    </xf>
    <xf numFmtId="0" fontId="2" fillId="0" borderId="5" xfId="0" applyFont="1" applyFill="1" applyBorder="1" applyAlignment="1" applyProtection="1">
      <alignment horizontal="left" vertical="center" wrapText="1"/>
      <protection hidden="1"/>
    </xf>
    <xf numFmtId="0" fontId="2" fillId="0" borderId="3" xfId="0" applyFont="1" applyFill="1" applyBorder="1" applyAlignment="1" applyProtection="1">
      <alignment horizontal="left" vertical="center" wrapText="1"/>
      <protection hidden="1"/>
    </xf>
    <xf numFmtId="0" fontId="2" fillId="3" borderId="15" xfId="0" applyNumberFormat="1" applyFont="1" applyFill="1" applyBorder="1" applyAlignment="1" applyProtection="1">
      <alignment horizontal="center" vertical="center"/>
      <protection/>
    </xf>
    <xf numFmtId="0" fontId="2" fillId="3" borderId="4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top" shrinkToFit="1"/>
      <protection/>
    </xf>
    <xf numFmtId="0" fontId="2" fillId="3" borderId="21" xfId="0" applyNumberFormat="1" applyFont="1" applyFill="1" applyBorder="1" applyAlignment="1" applyProtection="1">
      <alignment horizontal="center" vertical="center"/>
      <protection/>
    </xf>
    <xf numFmtId="0" fontId="2" fillId="3" borderId="23" xfId="0" applyNumberFormat="1" applyFont="1" applyFill="1" applyBorder="1" applyAlignment="1" applyProtection="1">
      <alignment horizontal="center" vertical="center"/>
      <protection/>
    </xf>
    <xf numFmtId="0" fontId="23" fillId="11" borderId="0" xfId="0" applyFont="1" applyFill="1" applyBorder="1" applyAlignment="1">
      <alignment horizontal="center" vertical="center" wrapText="1" shrinkToFit="1"/>
    </xf>
    <xf numFmtId="0" fontId="23" fillId="11" borderId="0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 applyProtection="1">
      <alignment horizontal="center" vertical="center"/>
      <protection/>
    </xf>
    <xf numFmtId="179" fontId="2" fillId="0" borderId="7" xfId="22" applyNumberFormat="1" applyFont="1" applyBorder="1" applyAlignment="1" applyProtection="1">
      <alignment horizontal="center" vertical="center"/>
      <protection locked="0"/>
    </xf>
    <xf numFmtId="179" fontId="2" fillId="0" borderId="5" xfId="22" applyNumberFormat="1" applyFont="1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>
      <alignment horizontal="center" vertical="center"/>
    </xf>
    <xf numFmtId="0" fontId="2" fillId="3" borderId="21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NumberFormat="1" applyFont="1" applyFill="1" applyBorder="1" applyAlignment="1" applyProtection="1">
      <alignment horizontal="center" vertical="center"/>
      <protection hidden="1"/>
    </xf>
    <xf numFmtId="0" fontId="2" fillId="3" borderId="36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33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33" xfId="0" applyFont="1" applyFill="1" applyBorder="1" applyAlignment="1" applyProtection="1">
      <alignment horizontal="left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  <xf numFmtId="0" fontId="2" fillId="3" borderId="32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205" fontId="6" fillId="10" borderId="7" xfId="0" applyNumberFormat="1" applyFont="1" applyFill="1" applyBorder="1" applyAlignment="1" applyProtection="1">
      <alignment horizontal="center" vertical="center" shrinkToFit="1"/>
      <protection hidden="1"/>
    </xf>
    <xf numFmtId="205" fontId="6" fillId="10" borderId="3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7" xfId="0" applyFont="1" applyFill="1" applyBorder="1" applyAlignment="1" applyProtection="1">
      <alignment horizontal="right" vertical="center" shrinkToFit="1"/>
      <protection locked="0"/>
    </xf>
    <xf numFmtId="0" fontId="6" fillId="0" borderId="3" xfId="0" applyFont="1" applyFill="1" applyBorder="1" applyAlignment="1" applyProtection="1">
      <alignment horizontal="right" vertical="center" shrinkToFit="1"/>
      <protection locked="0"/>
    </xf>
    <xf numFmtId="205" fontId="6" fillId="10" borderId="1" xfId="0" applyNumberFormat="1" applyFont="1" applyFill="1" applyBorder="1" applyAlignment="1" applyProtection="1">
      <alignment horizontal="center" vertical="center" shrinkToFit="1"/>
      <protection hidden="1"/>
    </xf>
    <xf numFmtId="205" fontId="6" fillId="10" borderId="15" xfId="0" applyNumberFormat="1" applyFont="1" applyFill="1" applyBorder="1" applyAlignment="1" applyProtection="1">
      <alignment horizontal="center" vertical="center" shrinkToFit="1"/>
      <protection hidden="1"/>
    </xf>
    <xf numFmtId="205" fontId="6" fillId="10" borderId="36" xfId="0" applyNumberFormat="1" applyFont="1" applyFill="1" applyBorder="1" applyAlignment="1" applyProtection="1">
      <alignment horizontal="center" vertical="center" shrinkToFit="1"/>
      <protection hidden="1"/>
    </xf>
    <xf numFmtId="205" fontId="6" fillId="10" borderId="32" xfId="0" applyNumberFormat="1" applyFont="1" applyFill="1" applyBorder="1" applyAlignment="1" applyProtection="1">
      <alignment horizontal="center" vertical="center" shrinkToFit="1"/>
      <protection hidden="1"/>
    </xf>
    <xf numFmtId="0" fontId="6" fillId="0" borderId="5" xfId="0" applyFont="1" applyFill="1" applyBorder="1" applyAlignment="1" applyProtection="1">
      <alignment horizontal="right" vertical="center" shrinkToFit="1"/>
      <protection locked="0"/>
    </xf>
    <xf numFmtId="0" fontId="6" fillId="0" borderId="14" xfId="0" applyFont="1" applyFill="1" applyBorder="1" applyAlignment="1" applyProtection="1">
      <alignment horizontal="right" vertical="center" shrinkToFit="1"/>
      <protection locked="0"/>
    </xf>
    <xf numFmtId="0" fontId="6" fillId="0" borderId="4" xfId="0" applyFont="1" applyFill="1" applyBorder="1" applyAlignment="1" applyProtection="1">
      <alignment horizontal="right" vertical="center" shrinkToFit="1"/>
      <protection locked="0"/>
    </xf>
    <xf numFmtId="0" fontId="0" fillId="3" borderId="2" xfId="0" applyFill="1" applyBorder="1" applyAlignment="1" applyProtection="1">
      <alignment horizontal="center" vertical="center" shrinkToFit="1"/>
      <protection/>
    </xf>
    <xf numFmtId="0" fontId="0" fillId="3" borderId="15" xfId="0" applyFill="1" applyBorder="1" applyAlignment="1" applyProtection="1">
      <alignment horizontal="center" vertical="center" shrinkToFit="1"/>
      <protection/>
    </xf>
    <xf numFmtId="0" fontId="0" fillId="3" borderId="0" xfId="0" applyFill="1" applyBorder="1" applyAlignment="1" applyProtection="1">
      <alignment horizontal="center" vertical="center" shrinkToFit="1"/>
      <protection/>
    </xf>
    <xf numFmtId="0" fontId="0" fillId="3" borderId="10" xfId="0" applyFill="1" applyBorder="1" applyAlignment="1" applyProtection="1">
      <alignment horizontal="center" vertical="center" shrinkToFit="1"/>
      <protection/>
    </xf>
    <xf numFmtId="0" fontId="3" fillId="0" borderId="14" xfId="0" applyFont="1" applyBorder="1" applyAlignment="1">
      <alignment horizontal="right" vertical="top" shrinkToFit="1"/>
    </xf>
    <xf numFmtId="0" fontId="6" fillId="0" borderId="11" xfId="0" applyFont="1" applyFill="1" applyBorder="1" applyAlignment="1" applyProtection="1">
      <alignment horizontal="right" vertical="center" shrinkToFit="1"/>
      <protection locked="0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0" fillId="0" borderId="10" xfId="0" applyFill="1" applyBorder="1" applyAlignment="1" applyProtection="1">
      <alignment horizontal="center" vertical="center" shrinkToFit="1"/>
      <protection locked="0"/>
    </xf>
    <xf numFmtId="0" fontId="1" fillId="0" borderId="23" xfId="0" applyFont="1" applyFill="1" applyBorder="1" applyAlignment="1" applyProtection="1">
      <alignment horizontal="center" vertical="center" shrinkToFit="1"/>
      <protection locked="0"/>
    </xf>
    <xf numFmtId="0" fontId="1" fillId="0" borderId="14" xfId="0" applyFont="1" applyFill="1" applyBorder="1" applyAlignment="1" applyProtection="1">
      <alignment horizontal="center" vertical="center" shrinkToFit="1"/>
      <protection locked="0"/>
    </xf>
    <xf numFmtId="0" fontId="1" fillId="0" borderId="4" xfId="0" applyFont="1" applyFill="1" applyBorder="1" applyAlignment="1" applyProtection="1">
      <alignment horizontal="center" vertical="center" shrinkToFit="1"/>
      <protection locked="0"/>
    </xf>
    <xf numFmtId="0" fontId="3" fillId="3" borderId="22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 locked="0"/>
    </xf>
    <xf numFmtId="0" fontId="0" fillId="0" borderId="2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0" fontId="1" fillId="0" borderId="10" xfId="0" applyFont="1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0" fillId="0" borderId="4" xfId="0" applyFill="1" applyBorder="1" applyAlignment="1" applyProtection="1">
      <alignment horizontal="center" vertical="center" shrinkToFit="1"/>
      <protection locked="0"/>
    </xf>
    <xf numFmtId="0" fontId="2" fillId="3" borderId="1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6" fillId="0" borderId="32" xfId="0" applyFont="1" applyFill="1" applyBorder="1" applyAlignment="1" applyProtection="1">
      <alignment horizontal="right" vertical="center" shrinkToFit="1"/>
      <protection locked="0"/>
    </xf>
    <xf numFmtId="0" fontId="6" fillId="0" borderId="7" xfId="0" applyFont="1" applyFill="1" applyBorder="1" applyAlignment="1" applyProtection="1">
      <alignment vertical="center" shrinkToFit="1"/>
      <protection locked="0"/>
    </xf>
    <xf numFmtId="0" fontId="6" fillId="0" borderId="32" xfId="0" applyFont="1" applyFill="1" applyBorder="1" applyAlignment="1" applyProtection="1">
      <alignment vertical="center" shrinkToFit="1"/>
      <protection locked="0"/>
    </xf>
    <xf numFmtId="0" fontId="6" fillId="0" borderId="7" xfId="0" applyFont="1" applyFill="1" applyBorder="1" applyAlignment="1" applyProtection="1">
      <alignment horizontal="center" vertical="center" shrinkToFit="1"/>
      <protection locked="0"/>
    </xf>
    <xf numFmtId="0" fontId="6" fillId="0" borderId="32" xfId="0" applyFont="1" applyFill="1" applyBorder="1" applyAlignment="1" applyProtection="1">
      <alignment horizontal="center" vertical="center" shrinkToFit="1"/>
      <protection locked="0"/>
    </xf>
    <xf numFmtId="0" fontId="6" fillId="0" borderId="34" xfId="0" applyFont="1" applyFill="1" applyBorder="1" applyAlignment="1" applyProtection="1">
      <alignment horizontal="right" vertical="center" shrinkToFit="1"/>
      <protection locked="0"/>
    </xf>
    <xf numFmtId="0" fontId="6" fillId="0" borderId="1" xfId="0" applyFont="1" applyFill="1" applyBorder="1" applyAlignment="1" applyProtection="1">
      <alignment horizontal="right" vertical="center" shrinkToFit="1"/>
      <protection locked="0"/>
    </xf>
    <xf numFmtId="0" fontId="6" fillId="0" borderId="15" xfId="0" applyFont="1" applyFill="1" applyBorder="1" applyAlignment="1" applyProtection="1">
      <alignment horizontal="right" vertical="center" shrinkToFit="1"/>
      <protection locked="0"/>
    </xf>
    <xf numFmtId="0" fontId="6" fillId="0" borderId="2" xfId="0" applyFont="1" applyFill="1" applyBorder="1" applyAlignment="1" applyProtection="1">
      <alignment horizontal="right" vertical="center" shrinkToFit="1"/>
      <protection locked="0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horizontal="center" vertical="center"/>
    </xf>
    <xf numFmtId="0" fontId="2" fillId="3" borderId="33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3" borderId="32" xfId="0" applyFont="1" applyFill="1" applyBorder="1" applyAlignment="1" applyProtection="1">
      <alignment horizontal="center" vertical="center"/>
      <protection/>
    </xf>
    <xf numFmtId="178" fontId="2" fillId="10" borderId="7" xfId="0" applyNumberFormat="1" applyFont="1" applyFill="1" applyBorder="1" applyAlignment="1" applyProtection="1">
      <alignment horizontal="center" vertical="center"/>
      <protection hidden="1"/>
    </xf>
    <xf numFmtId="178" fontId="2" fillId="10" borderId="5" xfId="0" applyNumberFormat="1" applyFont="1" applyFill="1" applyBorder="1" applyAlignment="1" applyProtection="1">
      <alignment horizontal="center" vertical="center"/>
      <protection hidden="1"/>
    </xf>
    <xf numFmtId="178" fontId="2" fillId="10" borderId="32" xfId="0" applyNumberFormat="1" applyFont="1" applyFill="1" applyBorder="1" applyAlignment="1" applyProtection="1">
      <alignment horizontal="center" vertical="center"/>
      <protection hidden="1"/>
    </xf>
    <xf numFmtId="0" fontId="2" fillId="10" borderId="3" xfId="0" applyNumberFormat="1" applyFont="1" applyFill="1" applyBorder="1" applyAlignment="1" applyProtection="1">
      <alignment horizontal="center" vertical="center" shrinkToFit="1"/>
      <protection hidden="1"/>
    </xf>
    <xf numFmtId="205" fontId="2" fillId="0" borderId="7" xfId="0" applyNumberFormat="1" applyFont="1" applyFill="1" applyBorder="1" applyAlignment="1" applyProtection="1">
      <alignment horizontal="center" vertical="center"/>
      <protection locked="0"/>
    </xf>
    <xf numFmtId="205" fontId="2" fillId="0" borderId="5" xfId="0" applyNumberFormat="1" applyFont="1" applyFill="1" applyBorder="1" applyAlignment="1" applyProtection="1">
      <alignment horizontal="center" vertical="center"/>
      <protection locked="0"/>
    </xf>
    <xf numFmtId="205" fontId="2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3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3" borderId="22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 shrinkToFit="1"/>
      <protection locked="0"/>
    </xf>
    <xf numFmtId="0" fontId="2" fillId="0" borderId="23" xfId="0" applyFont="1" applyFill="1" applyBorder="1" applyAlignment="1" applyProtection="1">
      <alignment horizontal="center" vertical="center" shrinkToFit="1"/>
      <protection locked="0"/>
    </xf>
    <xf numFmtId="0" fontId="2" fillId="3" borderId="23" xfId="0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 shrinkToFit="1"/>
      <protection hidden="1"/>
    </xf>
    <xf numFmtId="0" fontId="0" fillId="0" borderId="5" xfId="0" applyFill="1" applyBorder="1" applyAlignment="1" applyProtection="1">
      <alignment horizontal="center" vertical="center" shrinkToFit="1"/>
      <protection hidden="1"/>
    </xf>
    <xf numFmtId="0" fontId="0" fillId="0" borderId="3" xfId="0" applyFill="1" applyBorder="1" applyAlignment="1" applyProtection="1">
      <alignment horizontal="center" vertical="center" shrinkToFit="1"/>
      <protection hidden="1"/>
    </xf>
    <xf numFmtId="0" fontId="16" fillId="9" borderId="25" xfId="0" applyFont="1" applyFill="1" applyBorder="1" applyAlignment="1" applyProtection="1">
      <alignment horizontal="center" vertical="center"/>
      <protection locked="0"/>
    </xf>
    <xf numFmtId="0" fontId="16" fillId="9" borderId="26" xfId="0" applyFont="1" applyFill="1" applyBorder="1" applyAlignment="1" applyProtection="1">
      <alignment horizontal="center" vertical="center"/>
      <protection locked="0"/>
    </xf>
    <xf numFmtId="0" fontId="16" fillId="9" borderId="27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right" vertical="top" shrinkToFit="1"/>
    </xf>
    <xf numFmtId="0" fontId="2" fillId="0" borderId="31" xfId="0" applyFont="1" applyFill="1" applyBorder="1" applyAlignment="1" applyProtection="1">
      <alignment horizontal="center" vertical="center" shrinkToFit="1"/>
      <protection hidden="1"/>
    </xf>
    <xf numFmtId="9" fontId="2" fillId="0" borderId="31" xfId="0" applyNumberFormat="1" applyFont="1" applyFill="1" applyBorder="1" applyAlignment="1" applyProtection="1">
      <alignment horizontal="center" vertical="center" shrinkToFit="1"/>
      <protection locked="0"/>
    </xf>
    <xf numFmtId="9" fontId="2" fillId="0" borderId="0" xfId="0" applyNumberFormat="1" applyFont="1" applyFill="1" applyBorder="1" applyAlignment="1" applyProtection="1">
      <alignment horizontal="center" vertical="center" shrinkToFit="1"/>
      <protection locked="0"/>
    </xf>
    <xf numFmtId="9" fontId="2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9" borderId="0" xfId="16" applyFill="1" applyAlignment="1" applyProtection="1">
      <alignment horizontal="center" vertical="center"/>
      <protection locked="0"/>
    </xf>
    <xf numFmtId="0" fontId="13" fillId="9" borderId="0" xfId="0" applyFont="1" applyFill="1" applyAlignment="1">
      <alignment horizontal="center" vertical="center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37" xfId="0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 textRotation="255"/>
      <protection/>
    </xf>
    <xf numFmtId="0" fontId="2" fillId="3" borderId="15" xfId="0" applyFont="1" applyFill="1" applyBorder="1" applyAlignment="1" applyProtection="1">
      <alignment horizontal="center" vertical="center" textRotation="255"/>
      <protection/>
    </xf>
    <xf numFmtId="0" fontId="2" fillId="3" borderId="11" xfId="0" applyFont="1" applyFill="1" applyBorder="1" applyAlignment="1" applyProtection="1">
      <alignment horizontal="center" vertical="center" textRotation="255"/>
      <protection/>
    </xf>
    <xf numFmtId="0" fontId="2" fillId="3" borderId="4" xfId="0" applyFont="1" applyFill="1" applyBorder="1" applyAlignment="1" applyProtection="1">
      <alignment horizontal="center" vertical="center" textRotation="255"/>
      <protection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2" fillId="3" borderId="6" xfId="0" applyFont="1" applyFill="1" applyBorder="1" applyAlignment="1" applyProtection="1">
      <alignment horizontal="center" vertical="center" textRotation="255"/>
      <protection/>
    </xf>
    <xf numFmtId="0" fontId="2" fillId="3" borderId="12" xfId="0" applyFont="1" applyFill="1" applyBorder="1" applyAlignment="1" applyProtection="1">
      <alignment horizontal="center" vertical="center" textRotation="255"/>
      <protection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3" xfId="0" applyFill="1" applyBorder="1" applyAlignment="1" applyProtection="1">
      <alignment horizontal="center" vertical="center"/>
      <protection/>
    </xf>
    <xf numFmtId="0" fontId="0" fillId="3" borderId="11" xfId="0" applyFont="1" applyFill="1" applyBorder="1" applyAlignment="1" applyProtection="1">
      <alignment horizontal="center" vertical="center"/>
      <protection/>
    </xf>
    <xf numFmtId="0" fontId="0" fillId="3" borderId="14" xfId="0" applyFont="1" applyFill="1" applyBorder="1" applyAlignment="1" applyProtection="1">
      <alignment horizontal="center" vertical="center"/>
      <protection/>
    </xf>
    <xf numFmtId="0" fontId="0" fillId="3" borderId="4" xfId="0" applyFont="1" applyFill="1" applyBorder="1" applyAlignment="1" applyProtection="1">
      <alignment horizontal="center" vertical="center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0" fontId="0" fillId="3" borderId="2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shrinkToFit="1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0" fontId="0" fillId="3" borderId="3" xfId="0" applyFill="1" applyBorder="1" applyAlignment="1" applyProtection="1">
      <alignment horizontal="center" vertical="center"/>
      <protection hidden="1"/>
    </xf>
    <xf numFmtId="0" fontId="0" fillId="3" borderId="11" xfId="0" applyFont="1" applyFill="1" applyBorder="1" applyAlignment="1" applyProtection="1">
      <alignment horizontal="center" vertical="center"/>
      <protection hidden="1"/>
    </xf>
    <xf numFmtId="0" fontId="0" fillId="3" borderId="14" xfId="0" applyFont="1" applyFill="1" applyBorder="1" applyAlignment="1" applyProtection="1">
      <alignment horizontal="center" vertical="center"/>
      <protection hidden="1"/>
    </xf>
    <xf numFmtId="0" fontId="0" fillId="3" borderId="4" xfId="0" applyFont="1" applyFill="1" applyBorder="1" applyAlignment="1" applyProtection="1">
      <alignment horizontal="center" vertical="center"/>
      <protection hidden="1"/>
    </xf>
    <xf numFmtId="0" fontId="0" fillId="3" borderId="9" xfId="0" applyFont="1" applyFill="1" applyBorder="1" applyAlignment="1" applyProtection="1">
      <alignment horizontal="center" vertical="center"/>
      <protection hidden="1"/>
    </xf>
    <xf numFmtId="0" fontId="0" fillId="3" borderId="0" xfId="0" applyFont="1" applyFill="1" applyBorder="1" applyAlignment="1" applyProtection="1">
      <alignment horizontal="center" vertical="center"/>
      <protection hidden="1"/>
    </xf>
    <xf numFmtId="0" fontId="0" fillId="3" borderId="10" xfId="0" applyFont="1" applyFill="1" applyBorder="1" applyAlignment="1" applyProtection="1">
      <alignment horizontal="center" vertical="center"/>
      <protection hidden="1"/>
    </xf>
    <xf numFmtId="0" fontId="0" fillId="3" borderId="7" xfId="0" applyFont="1" applyFill="1" applyBorder="1" applyAlignment="1" applyProtection="1">
      <alignment horizontal="center" vertical="center"/>
      <protection hidden="1"/>
    </xf>
    <xf numFmtId="0" fontId="0" fillId="3" borderId="5" xfId="0" applyFont="1" applyFill="1" applyBorder="1" applyAlignment="1" applyProtection="1">
      <alignment horizontal="center" vertical="center"/>
      <protection hidden="1"/>
    </xf>
    <xf numFmtId="0" fontId="0" fillId="3" borderId="3" xfId="0" applyFont="1" applyFill="1" applyBorder="1" applyAlignment="1" applyProtection="1">
      <alignment horizontal="center" vertical="center"/>
      <protection hidden="1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2" xfId="0" applyFont="1" applyFill="1" applyBorder="1" applyAlignment="1" applyProtection="1">
      <alignment horizontal="center" vertical="center"/>
      <protection hidden="1"/>
    </xf>
    <xf numFmtId="0" fontId="0" fillId="3" borderId="15" xfId="0" applyFont="1" applyFill="1" applyBorder="1" applyAlignment="1" applyProtection="1">
      <alignment horizontal="center" vertical="center"/>
      <protection hidden="1"/>
    </xf>
    <xf numFmtId="0" fontId="2" fillId="3" borderId="38" xfId="0" applyFont="1" applyFill="1" applyBorder="1" applyAlignment="1" applyProtection="1">
      <alignment horizontal="center" vertical="center"/>
      <protection/>
    </xf>
    <xf numFmtId="0" fontId="2" fillId="3" borderId="39" xfId="0" applyFont="1" applyFill="1" applyBorder="1" applyAlignment="1" applyProtection="1">
      <alignment horizontal="center" vertical="center"/>
      <protection/>
    </xf>
    <xf numFmtId="0" fontId="0" fillId="3" borderId="9" xfId="0" applyFill="1" applyBorder="1" applyAlignment="1" applyProtection="1">
      <alignment horizontal="center" vertical="center"/>
      <protection hidden="1"/>
    </xf>
    <xf numFmtId="0" fontId="0" fillId="3" borderId="10" xfId="0" applyFill="1" applyBorder="1" applyAlignment="1" applyProtection="1">
      <alignment horizontal="center" vertical="center"/>
      <protection hidden="1"/>
    </xf>
    <xf numFmtId="0" fontId="0" fillId="3" borderId="9" xfId="0" applyFill="1" applyBorder="1" applyAlignment="1" applyProtection="1">
      <alignment horizontal="center" vertical="center" wrapText="1"/>
      <protection hidden="1"/>
    </xf>
    <xf numFmtId="0" fontId="0" fillId="3" borderId="6" xfId="0" applyFont="1" applyFill="1" applyBorder="1" applyAlignment="1" applyProtection="1">
      <alignment horizontal="center" vertical="center" wrapText="1"/>
      <protection hidden="1"/>
    </xf>
    <xf numFmtId="0" fontId="0" fillId="3" borderId="8" xfId="0" applyFont="1" applyFill="1" applyBorder="1" applyAlignment="1" applyProtection="1">
      <alignment horizontal="center" vertical="center"/>
      <protection hidden="1"/>
    </xf>
    <xf numFmtId="0" fontId="0" fillId="3" borderId="11" xfId="0" applyFill="1" applyBorder="1" applyAlignment="1" applyProtection="1">
      <alignment horizontal="center" vertical="center"/>
      <protection hidden="1"/>
    </xf>
    <xf numFmtId="0" fontId="0" fillId="3" borderId="14" xfId="0" applyFill="1" applyBorder="1" applyAlignment="1" applyProtection="1">
      <alignment horizontal="center" vertical="center"/>
      <protection hidden="1"/>
    </xf>
    <xf numFmtId="0" fontId="0" fillId="3" borderId="4" xfId="0" applyFill="1" applyBorder="1" applyAlignment="1" applyProtection="1">
      <alignment horizontal="center" vertical="center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207" fontId="27" fillId="0" borderId="1" xfId="0" applyNumberFormat="1" applyFont="1" applyBorder="1" applyAlignment="1">
      <alignment horizontal="center" vertical="center"/>
    </xf>
    <xf numFmtId="207" fontId="0" fillId="0" borderId="2" xfId="0" applyNumberFormat="1" applyBorder="1" applyAlignment="1">
      <alignment horizontal="center" vertical="center"/>
    </xf>
    <xf numFmtId="207" fontId="0" fillId="0" borderId="11" xfId="0" applyNumberFormat="1" applyBorder="1" applyAlignment="1">
      <alignment horizontal="center" vertical="center"/>
    </xf>
    <xf numFmtId="207" fontId="0" fillId="0" borderId="14" xfId="0" applyNumberForma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27" fillId="0" borderId="2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4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27" fillId="0" borderId="4" xfId="0" applyFont="1" applyBorder="1" applyAlignment="1">
      <alignment horizontal="center" vertical="center" shrinkToFit="1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27" fillId="0" borderId="44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3" xfId="0" applyFont="1" applyBorder="1" applyAlignment="1">
      <alignment vertical="center"/>
    </xf>
    <xf numFmtId="0" fontId="27" fillId="0" borderId="47" xfId="0" applyFont="1" applyBorder="1" applyAlignment="1">
      <alignment horizontal="left" vertical="center" wrapText="1"/>
    </xf>
    <xf numFmtId="0" fontId="27" fillId="0" borderId="5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7" fillId="0" borderId="46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35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/>
    </xf>
    <xf numFmtId="0" fontId="27" fillId="0" borderId="7" xfId="0" applyFont="1" applyBorder="1" applyAlignment="1">
      <alignment vertical="center"/>
    </xf>
    <xf numFmtId="0" fontId="27" fillId="0" borderId="5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30" fillId="0" borderId="51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44" xfId="0" applyFont="1" applyBorder="1" applyAlignment="1">
      <alignment vertical="center"/>
    </xf>
    <xf numFmtId="0" fontId="27" fillId="0" borderId="48" xfId="0" applyFont="1" applyBorder="1" applyAlignment="1">
      <alignment vertical="center"/>
    </xf>
    <xf numFmtId="0" fontId="27" fillId="0" borderId="52" xfId="0" applyFont="1" applyBorder="1" applyAlignment="1">
      <alignment vertical="center"/>
    </xf>
    <xf numFmtId="0" fontId="27" fillId="0" borderId="53" xfId="0" applyFont="1" applyBorder="1" applyAlignment="1">
      <alignment horizontal="left" vertical="center" wrapText="1"/>
    </xf>
    <xf numFmtId="0" fontId="27" fillId="0" borderId="54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4" xfId="0" applyFont="1" applyBorder="1" applyAlignment="1">
      <alignment horizontal="center" vertical="center"/>
    </xf>
    <xf numFmtId="0" fontId="29" fillId="0" borderId="0" xfId="0" applyFont="1" applyAlignment="1">
      <alignment horizontal="right" vertical="center"/>
    </xf>
    <xf numFmtId="0" fontId="27" fillId="0" borderId="0" xfId="0" applyFont="1" applyAlignment="1">
      <alignment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29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7" fillId="0" borderId="30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27" fillId="0" borderId="2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区分" xfId="17"/>
    <cellStyle name="Comma [0]" xfId="18"/>
    <cellStyle name="Comma" xfId="19"/>
    <cellStyle name="Currency [0]" xfId="20"/>
    <cellStyle name="Currency" xfId="21"/>
    <cellStyle name="標準_中心線精度" xfId="22"/>
    <cellStyle name="Followed Hyperlink" xfId="23"/>
  </cellStyles>
  <dxfs count="17">
    <dxf>
      <font>
        <color rgb="FFFF0000"/>
      </font>
      <fill>
        <patternFill patternType="none">
          <bgColor indexed="65"/>
        </patternFill>
      </fill>
      <border/>
    </dxf>
    <dxf>
      <fill>
        <patternFill>
          <bgColor rgb="FFCCFFFF"/>
        </patternFill>
      </fill>
      <border/>
    </dxf>
    <dxf>
      <font>
        <b/>
        <i/>
        <strike/>
        <color rgb="FFFF0000"/>
      </font>
      <border/>
    </dxf>
    <dxf>
      <fill>
        <patternFill>
          <bgColor rgb="FF99CCFF"/>
        </patternFill>
      </fill>
      <border/>
    </dxf>
    <dxf>
      <font>
        <color rgb="FFFF0000"/>
      </font>
      <border/>
    </dxf>
    <dxf>
      <fill>
        <patternFill patternType="solid">
          <bgColor rgb="FF99CCFF"/>
        </patternFill>
      </fill>
      <border/>
    </dxf>
    <dxf>
      <font>
        <b/>
        <i val="0"/>
        <color rgb="FFFF0000"/>
      </font>
      <border/>
    </dxf>
    <dxf>
      <fill>
        <patternFill>
          <bgColor rgb="FFC0C0C0"/>
        </patternFill>
      </fill>
      <border/>
    </dxf>
    <dxf>
      <font>
        <b/>
        <i/>
        <strike/>
        <color rgb="FFFF0000"/>
      </font>
      <fill>
        <patternFill>
          <bgColor rgb="FFC0C0C0"/>
        </patternFill>
      </fill>
      <border/>
    </dxf>
    <dxf>
      <font>
        <b/>
        <i val="0"/>
        <color rgb="FFFF0000"/>
      </font>
      <fill>
        <patternFill>
          <bgColor rgb="FFCCFFFF"/>
        </patternFill>
      </fill>
      <border/>
    </dxf>
    <dxf>
      <font>
        <b val="0"/>
        <i val="0"/>
        <strike/>
        <color rgb="FFFF0000"/>
      </font>
      <fill>
        <patternFill>
          <bgColor rgb="FFCCFFFF"/>
        </patternFill>
      </fill>
      <border/>
    </dxf>
    <dxf>
      <font>
        <b val="0"/>
        <i val="0"/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CCFFFF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fill>
        <patternFill patternType="solid">
          <bgColor rgb="FFCCFFFF"/>
        </patternFill>
      </fill>
      <border/>
    </dxf>
    <dxf>
      <font>
        <color rgb="FFFF0000"/>
      </font>
      <fill>
        <patternFill>
          <bgColor rgb="FFCCFFFF"/>
        </patternFill>
      </fill>
      <border/>
    </dxf>
    <dxf>
      <font>
        <color rgb="FFCCFFFF"/>
      </font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CECFFE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D8D8D8"/>
      <rgbColor rgb="00339966"/>
      <rgbColor rgb="00003300"/>
      <rgbColor rgb="00333300"/>
      <rgbColor rgb="00993300"/>
      <rgbColor rgb="00993366"/>
      <rgbColor rgb="00333399"/>
      <rgbColor rgb="00EAEAE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85725</xdr:colOff>
      <xdr:row>23</xdr:row>
      <xdr:rowOff>95250</xdr:rowOff>
    </xdr:from>
    <xdr:to>
      <xdr:col>36</xdr:col>
      <xdr:colOff>66675</xdr:colOff>
      <xdr:row>31</xdr:row>
      <xdr:rowOff>85725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62225" y="6381750"/>
          <a:ext cx="521970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934;&#24230;&#31649;&#29702;&#34920;&#22522;&#26412;&#26360;&#24335;&#947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業務情報"/>
      <sheetName val="計算"/>
      <sheetName val="TS基準点(その1)"/>
      <sheetName val="TS基準点(その1-2)"/>
      <sheetName val="GPS基準点(その2)"/>
      <sheetName val="水準測量(その1)"/>
      <sheetName val="水準測量(その2)"/>
      <sheetName val="水準基標"/>
      <sheetName val="仮BM設置測量"/>
      <sheetName val="簡易水準"/>
      <sheetName val="条件点,IP"/>
      <sheetName val="中心線,距離標,法線,境界"/>
      <sheetName val="用地幅杭"/>
      <sheetName val="横断"/>
      <sheetName val="縦断"/>
      <sheetName val="平面図"/>
      <sheetName val="許容範囲"/>
    </sheetNames>
    <sheetDataSet>
      <sheetData sheetId="0">
        <row r="13">
          <cell r="B13" t="str">
            <v>技術者名簿</v>
          </cell>
          <cell r="C13" t="str">
            <v>点検者名簿</v>
          </cell>
        </row>
        <row r="14">
          <cell r="B14" t="str">
            <v>田中　太郎</v>
          </cell>
          <cell r="C14" t="str">
            <v>佐藤　次郎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31934;&#24230;&#31649;&#29702;&#34920;%201.2(20141125)-2-2.xls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7"/>
  </sheetPr>
  <dimension ref="A1:Y56"/>
  <sheetViews>
    <sheetView showGridLines="0" showRowColHeaders="0" tabSelected="1" workbookViewId="0" topLeftCell="A1">
      <selection activeCell="E9" sqref="E9"/>
    </sheetView>
  </sheetViews>
  <sheetFormatPr defaultColWidth="9.00390625" defaultRowHeight="23.25" customHeight="1"/>
  <cols>
    <col min="1" max="1" width="6.875" style="9" customWidth="1"/>
    <col min="2" max="2" width="8.25390625" style="38" customWidth="1"/>
    <col min="3" max="3" width="21.75390625" style="38" customWidth="1"/>
    <col min="4" max="4" width="8.25390625" style="38" customWidth="1"/>
    <col min="5" max="5" width="22.00390625" style="9" customWidth="1"/>
    <col min="6" max="6" width="8.25390625" style="9" customWidth="1"/>
    <col min="7" max="7" width="22.00390625" style="9" customWidth="1"/>
    <col min="8" max="9" width="6.50390625" style="9" customWidth="1"/>
    <col min="10" max="11" width="6.50390625" style="38" customWidth="1"/>
    <col min="12" max="12" width="12.375" style="35" customWidth="1"/>
    <col min="13" max="13" width="11.00390625" style="11" customWidth="1"/>
    <col min="14" max="14" width="5.75390625" style="11" customWidth="1"/>
    <col min="15" max="15" width="7.50390625" style="11" customWidth="1"/>
    <col min="16" max="16" width="9.625" style="11" customWidth="1"/>
    <col min="17" max="16384" width="12.875" style="11" customWidth="1"/>
  </cols>
  <sheetData>
    <row r="1" spans="1:16" ht="33.75" customHeight="1">
      <c r="A1" s="360"/>
      <c r="B1" s="360"/>
      <c r="C1" s="360"/>
      <c r="D1" s="360"/>
      <c r="E1" s="360"/>
      <c r="F1" s="360"/>
      <c r="G1" s="360"/>
      <c r="H1" s="4"/>
      <c r="I1" s="4"/>
      <c r="J1" s="4"/>
      <c r="K1" s="4"/>
      <c r="L1" s="1"/>
      <c r="M1" s="1"/>
      <c r="N1"/>
      <c r="O1"/>
      <c r="P1"/>
    </row>
    <row r="2" spans="1:15" ht="23.25" customHeight="1">
      <c r="A2" s="360"/>
      <c r="B2" s="356" t="s">
        <v>490</v>
      </c>
      <c r="C2" s="357"/>
      <c r="D2" s="357"/>
      <c r="E2" s="357"/>
      <c r="F2" s="357"/>
      <c r="G2" s="358"/>
      <c r="H2" s="11"/>
      <c r="I2" s="11"/>
      <c r="J2" s="11"/>
      <c r="K2" s="11"/>
      <c r="L2" s="1"/>
      <c r="M2" s="1"/>
      <c r="N2" s="1"/>
      <c r="O2"/>
    </row>
    <row r="3" spans="1:15" ht="30" customHeight="1">
      <c r="A3" s="360"/>
      <c r="B3" s="107" t="s">
        <v>45</v>
      </c>
      <c r="C3" s="259" t="s">
        <v>686</v>
      </c>
      <c r="D3" s="107" t="s">
        <v>126</v>
      </c>
      <c r="E3" s="259" t="s">
        <v>707</v>
      </c>
      <c r="F3" s="206" t="s">
        <v>511</v>
      </c>
      <c r="G3" s="210" t="s">
        <v>689</v>
      </c>
      <c r="H3" s="11"/>
      <c r="I3" s="11"/>
      <c r="J3" s="11"/>
      <c r="K3" s="11"/>
      <c r="O3"/>
    </row>
    <row r="4" spans="1:14" ht="30" customHeight="1">
      <c r="A4" s="360"/>
      <c r="B4" s="143" t="s">
        <v>249</v>
      </c>
      <c r="C4" s="205" t="s">
        <v>687</v>
      </c>
      <c r="D4" s="105" t="s">
        <v>147</v>
      </c>
      <c r="E4" s="222" t="s">
        <v>693</v>
      </c>
      <c r="F4" s="206" t="s">
        <v>48</v>
      </c>
      <c r="G4" s="210" t="s">
        <v>10</v>
      </c>
      <c r="H4" s="11"/>
      <c r="I4" s="11"/>
      <c r="J4" s="11"/>
      <c r="K4" s="11"/>
      <c r="N4" s="1"/>
    </row>
    <row r="5" spans="1:22" ht="30" customHeight="1" thickBot="1">
      <c r="A5" s="360"/>
      <c r="B5" s="106" t="s">
        <v>148</v>
      </c>
      <c r="C5" s="205" t="s">
        <v>705</v>
      </c>
      <c r="D5" s="106" t="s">
        <v>248</v>
      </c>
      <c r="E5" s="294" t="s">
        <v>692</v>
      </c>
      <c r="F5" s="363" t="s">
        <v>247</v>
      </c>
      <c r="G5" s="210" t="s">
        <v>691</v>
      </c>
      <c r="H5" s="11"/>
      <c r="I5" s="11"/>
      <c r="J5" s="11"/>
      <c r="K5" s="11"/>
      <c r="N5"/>
      <c r="T5"/>
      <c r="U5"/>
      <c r="V5"/>
    </row>
    <row r="6" spans="1:22" ht="30" customHeight="1" thickBot="1" thickTop="1">
      <c r="A6" s="360"/>
      <c r="B6" s="106" t="s">
        <v>145</v>
      </c>
      <c r="C6" s="123" t="s">
        <v>688</v>
      </c>
      <c r="D6" s="293" t="s">
        <v>386</v>
      </c>
      <c r="E6" s="295" t="s">
        <v>708</v>
      </c>
      <c r="F6" s="364"/>
      <c r="G6" s="210" t="s">
        <v>690</v>
      </c>
      <c r="H6" s="11"/>
      <c r="I6" s="11"/>
      <c r="J6" s="11"/>
      <c r="K6" s="11"/>
      <c r="N6"/>
      <c r="T6"/>
      <c r="U6"/>
      <c r="V6"/>
    </row>
    <row r="7" spans="1:22" ht="15" customHeight="1" thickTop="1">
      <c r="A7" s="360"/>
      <c r="B7" s="361"/>
      <c r="C7" s="361"/>
      <c r="D7" s="361"/>
      <c r="E7" s="362"/>
      <c r="F7" s="361"/>
      <c r="G7" s="361"/>
      <c r="H7" s="11"/>
      <c r="I7" s="11"/>
      <c r="J7" s="11"/>
      <c r="K7" s="11"/>
      <c r="N7"/>
      <c r="T7"/>
      <c r="U7"/>
      <c r="V7"/>
    </row>
    <row r="8" spans="1:22" ht="30" customHeight="1">
      <c r="A8" s="360"/>
      <c r="B8" s="354" t="s">
        <v>493</v>
      </c>
      <c r="C8" s="355"/>
      <c r="D8" s="354" t="s">
        <v>492</v>
      </c>
      <c r="E8" s="355"/>
      <c r="F8" s="354" t="s">
        <v>494</v>
      </c>
      <c r="G8" s="355"/>
      <c r="J8" s="11"/>
      <c r="K8" s="11"/>
      <c r="N8"/>
      <c r="T8"/>
      <c r="U8"/>
      <c r="V8"/>
    </row>
    <row r="9" spans="1:7" ht="18" customHeight="1">
      <c r="A9" s="360"/>
      <c r="B9" s="230" t="s">
        <v>491</v>
      </c>
      <c r="C9" s="229" t="s">
        <v>694</v>
      </c>
      <c r="D9" s="230" t="s">
        <v>491</v>
      </c>
      <c r="E9" s="229" t="s">
        <v>700</v>
      </c>
      <c r="F9" s="230" t="s">
        <v>491</v>
      </c>
      <c r="G9" s="229" t="s">
        <v>701</v>
      </c>
    </row>
    <row r="10" spans="1:7" ht="18" customHeight="1">
      <c r="A10" s="360"/>
      <c r="B10" s="232"/>
      <c r="C10" s="229" t="s">
        <v>695</v>
      </c>
      <c r="D10" s="232"/>
      <c r="E10" s="229"/>
      <c r="F10" s="232"/>
      <c r="G10" s="229" t="s">
        <v>702</v>
      </c>
    </row>
    <row r="11" spans="1:7" ht="18" customHeight="1">
      <c r="A11" s="360"/>
      <c r="B11" s="232"/>
      <c r="C11" s="229" t="s">
        <v>698</v>
      </c>
      <c r="D11" s="232"/>
      <c r="E11" s="233" t="s">
        <v>512</v>
      </c>
      <c r="F11" s="230" t="s">
        <v>413</v>
      </c>
      <c r="G11" s="229" t="s">
        <v>703</v>
      </c>
    </row>
    <row r="12" spans="1:7" ht="18" customHeight="1">
      <c r="A12" s="360"/>
      <c r="B12" s="232"/>
      <c r="C12" s="229" t="s">
        <v>696</v>
      </c>
      <c r="D12" s="235"/>
      <c r="E12" s="234"/>
      <c r="F12" s="231"/>
      <c r="G12" s="233" t="s">
        <v>704</v>
      </c>
    </row>
    <row r="13" spans="1:7" ht="18" customHeight="1">
      <c r="A13" s="360"/>
      <c r="B13" s="232"/>
      <c r="C13" s="229" t="s">
        <v>697</v>
      </c>
      <c r="D13" s="236"/>
      <c r="E13" s="221"/>
      <c r="F13" s="237"/>
      <c r="G13" s="234"/>
    </row>
    <row r="14" spans="1:7" ht="18" customHeight="1">
      <c r="A14" s="360"/>
      <c r="B14" s="231"/>
      <c r="C14" s="229" t="s">
        <v>699</v>
      </c>
      <c r="D14" s="236"/>
      <c r="E14" s="221"/>
      <c r="F14" s="128"/>
      <c r="G14" s="221"/>
    </row>
    <row r="15" spans="1:7" ht="15" customHeight="1">
      <c r="A15" s="360"/>
      <c r="B15" s="13"/>
      <c r="C15" s="13"/>
      <c r="D15" s="13"/>
      <c r="E15" s="13"/>
      <c r="F15" s="13"/>
      <c r="G15" s="13"/>
    </row>
    <row r="16" spans="2:7" ht="30" customHeight="1">
      <c r="B16" s="354" t="s">
        <v>473</v>
      </c>
      <c r="C16" s="359"/>
      <c r="D16" s="359"/>
      <c r="E16" s="359"/>
      <c r="F16" s="355"/>
      <c r="G16" s="13"/>
    </row>
    <row r="17" spans="2:6" ht="30" customHeight="1">
      <c r="B17" s="350" t="s">
        <v>478</v>
      </c>
      <c r="C17" s="351"/>
      <c r="D17" s="211" t="s">
        <v>410</v>
      </c>
      <c r="E17" s="216" t="s">
        <v>481</v>
      </c>
      <c r="F17" s="214" t="s">
        <v>410</v>
      </c>
    </row>
    <row r="18" spans="2:6" ht="30" customHeight="1">
      <c r="B18" s="352" t="s">
        <v>479</v>
      </c>
      <c r="C18" s="353"/>
      <c r="D18" s="212" t="s">
        <v>410</v>
      </c>
      <c r="E18" s="217" t="s">
        <v>477</v>
      </c>
      <c r="F18" s="215" t="s">
        <v>410</v>
      </c>
    </row>
    <row r="19" spans="2:6" ht="30" customHeight="1">
      <c r="B19" s="352" t="s">
        <v>480</v>
      </c>
      <c r="C19" s="353"/>
      <c r="D19" s="212" t="s">
        <v>410</v>
      </c>
      <c r="E19" s="218" t="s">
        <v>476</v>
      </c>
      <c r="F19" s="215" t="s">
        <v>410</v>
      </c>
    </row>
    <row r="20" spans="2:6" ht="30" customHeight="1">
      <c r="B20" s="365" t="s">
        <v>483</v>
      </c>
      <c r="C20" s="366"/>
      <c r="D20" s="212" t="s">
        <v>410</v>
      </c>
      <c r="E20" s="219" t="s">
        <v>661</v>
      </c>
      <c r="F20" s="279" t="s">
        <v>410</v>
      </c>
    </row>
    <row r="21" spans="2:6" ht="30" customHeight="1">
      <c r="B21" s="365" t="s">
        <v>482</v>
      </c>
      <c r="C21" s="366"/>
      <c r="D21" s="212" t="s">
        <v>410</v>
      </c>
      <c r="E21" s="219" t="s">
        <v>475</v>
      </c>
      <c r="F21" s="279" t="s">
        <v>410</v>
      </c>
    </row>
    <row r="22" spans="2:6" ht="30" customHeight="1">
      <c r="B22" s="367" t="s">
        <v>474</v>
      </c>
      <c r="C22" s="368"/>
      <c r="D22" s="213" t="s">
        <v>410</v>
      </c>
      <c r="E22" s="220" t="s">
        <v>42</v>
      </c>
      <c r="F22" s="285" t="s">
        <v>662</v>
      </c>
    </row>
    <row r="23" ht="30" customHeight="1"/>
    <row r="24" ht="30" customHeight="1">
      <c r="B24" s="297" t="s">
        <v>2</v>
      </c>
    </row>
    <row r="25" ht="30" customHeight="1">
      <c r="B25" s="298" t="s">
        <v>5</v>
      </c>
    </row>
    <row r="26" ht="30" customHeight="1">
      <c r="B26" s="298" t="s">
        <v>20</v>
      </c>
    </row>
    <row r="27" ht="30" customHeight="1">
      <c r="B27" s="298" t="s">
        <v>12</v>
      </c>
    </row>
    <row r="28" ht="30" customHeight="1">
      <c r="B28" s="298" t="s">
        <v>3</v>
      </c>
    </row>
    <row r="29" ht="30" customHeight="1">
      <c r="B29" s="298" t="s">
        <v>15</v>
      </c>
    </row>
    <row r="30" ht="30" customHeight="1">
      <c r="B30" s="298" t="s">
        <v>4</v>
      </c>
    </row>
    <row r="31" ht="30" customHeight="1">
      <c r="B31" s="297" t="s">
        <v>8</v>
      </c>
    </row>
    <row r="32" ht="23.25" customHeight="1">
      <c r="B32" s="298" t="s">
        <v>16</v>
      </c>
    </row>
    <row r="33" ht="23.25" customHeight="1">
      <c r="B33" s="298" t="s">
        <v>6</v>
      </c>
    </row>
    <row r="34" ht="23.25" customHeight="1">
      <c r="B34" s="298" t="s">
        <v>19</v>
      </c>
    </row>
    <row r="35" ht="23.25" customHeight="1">
      <c r="B35" s="298" t="s">
        <v>7</v>
      </c>
    </row>
    <row r="36" ht="23.25" customHeight="1">
      <c r="B36" s="297" t="s">
        <v>585</v>
      </c>
    </row>
    <row r="37" ht="23.25" customHeight="1">
      <c r="B37" s="298" t="s">
        <v>9</v>
      </c>
    </row>
    <row r="38" spans="1:25" ht="23.25" customHeight="1">
      <c r="A38"/>
      <c r="B38"/>
      <c r="C38"/>
      <c r="D38"/>
      <c r="E38"/>
      <c r="F38"/>
      <c r="G38"/>
      <c r="H38" s="11"/>
      <c r="I38" s="11"/>
      <c r="J38" s="11"/>
      <c r="K38" s="11"/>
      <c r="L38"/>
      <c r="M38"/>
      <c r="N38"/>
      <c r="O38"/>
      <c r="P38"/>
      <c r="Q38"/>
      <c r="R38"/>
      <c r="S38"/>
      <c r="T38"/>
      <c r="U38"/>
      <c r="V38"/>
      <c r="W38"/>
      <c r="X38"/>
      <c r="Y38"/>
    </row>
    <row r="39" spans="2:25" ht="23.25" customHeight="1">
      <c r="B39"/>
      <c r="C39"/>
      <c r="D39"/>
      <c r="E39"/>
      <c r="F39"/>
      <c r="G39"/>
      <c r="J39" s="9"/>
      <c r="K39" s="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2:25" ht="23.25" customHeight="1">
      <c r="B40"/>
      <c r="C40"/>
      <c r="D40"/>
      <c r="E40"/>
      <c r="F40"/>
      <c r="G40"/>
      <c r="J40" s="9"/>
      <c r="K40" s="9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2:25" ht="23.25" customHeight="1">
      <c r="B41"/>
      <c r="C41"/>
      <c r="D41"/>
      <c r="E41"/>
      <c r="F41"/>
      <c r="G41"/>
      <c r="J41" s="9"/>
      <c r="K41" s="9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2:25" ht="23.25" customHeight="1">
      <c r="B42"/>
      <c r="C42"/>
      <c r="D42"/>
      <c r="E42"/>
      <c r="F42"/>
      <c r="G42"/>
      <c r="J42" s="9"/>
      <c r="K42" s="9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2:25" ht="23.25" customHeight="1">
      <c r="B43"/>
      <c r="C43"/>
      <c r="D43"/>
      <c r="E43"/>
      <c r="F43"/>
      <c r="G43"/>
      <c r="J43" s="9"/>
      <c r="K43" s="9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2:25" ht="23.25" customHeight="1">
      <c r="B44"/>
      <c r="C44"/>
      <c r="D44"/>
      <c r="E44"/>
      <c r="F44"/>
      <c r="G44"/>
      <c r="J44" s="9"/>
      <c r="K44" s="9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2:25" ht="23.25" customHeight="1">
      <c r="B45"/>
      <c r="C45" s="9"/>
      <c r="D45" s="9"/>
      <c r="E45" s="11"/>
      <c r="F45" s="11"/>
      <c r="G45" s="11"/>
      <c r="J45" s="9"/>
      <c r="K45" s="9"/>
      <c r="L45"/>
      <c r="M45"/>
      <c r="N45"/>
      <c r="O45"/>
      <c r="P45"/>
      <c r="Q45"/>
      <c r="R45"/>
      <c r="S45"/>
      <c r="T45"/>
      <c r="U45"/>
      <c r="V45"/>
      <c r="W45"/>
      <c r="X45"/>
      <c r="Y45"/>
    </row>
    <row r="46" spans="2:25" ht="23.25" customHeight="1">
      <c r="B46" s="9"/>
      <c r="C46" s="9"/>
      <c r="D46" s="9"/>
      <c r="J46" s="9"/>
      <c r="K46" s="9"/>
      <c r="L46"/>
      <c r="M46"/>
      <c r="N46"/>
      <c r="O46"/>
      <c r="P46"/>
      <c r="Q46"/>
      <c r="R46"/>
      <c r="S46"/>
      <c r="T46"/>
      <c r="U46"/>
      <c r="V46"/>
      <c r="W46"/>
      <c r="X46"/>
      <c r="Y46"/>
    </row>
    <row r="47" spans="2:25" ht="23.25" customHeight="1">
      <c r="B47" s="9"/>
      <c r="C47" s="9"/>
      <c r="D47" s="9"/>
      <c r="J47" s="9"/>
      <c r="K47" s="9"/>
      <c r="L47"/>
      <c r="M47"/>
      <c r="N47"/>
      <c r="O47"/>
      <c r="P47"/>
      <c r="Q47"/>
      <c r="R47"/>
      <c r="S47"/>
      <c r="T47"/>
      <c r="U47"/>
      <c r="V47"/>
      <c r="W47"/>
      <c r="X47"/>
      <c r="Y47"/>
    </row>
    <row r="48" spans="2:25" ht="23.25" customHeight="1">
      <c r="B48" s="9"/>
      <c r="C48" s="9"/>
      <c r="D48" s="9"/>
      <c r="J48" s="9"/>
      <c r="K48" s="9"/>
      <c r="L48"/>
      <c r="M48"/>
      <c r="N48"/>
      <c r="O48"/>
      <c r="P48"/>
      <c r="Q48"/>
      <c r="R48"/>
      <c r="S48"/>
      <c r="T48"/>
      <c r="U48"/>
      <c r="V48"/>
      <c r="W48"/>
      <c r="X48"/>
      <c r="Y48"/>
    </row>
    <row r="49" spans="2:25" ht="23.25" customHeight="1">
      <c r="B49" s="9"/>
      <c r="C49" s="9"/>
      <c r="D49" s="9"/>
      <c r="J49" s="9"/>
      <c r="K49" s="9"/>
      <c r="L49"/>
      <c r="M49"/>
      <c r="N49"/>
      <c r="O49"/>
      <c r="P49"/>
      <c r="Q49"/>
      <c r="R49"/>
      <c r="S49"/>
      <c r="T49"/>
      <c r="U49"/>
      <c r="V49"/>
      <c r="W49"/>
      <c r="X49"/>
      <c r="Y49"/>
    </row>
    <row r="50" spans="2:11" ht="23.25" customHeight="1">
      <c r="B50" s="9"/>
      <c r="C50" s="9"/>
      <c r="D50" s="9"/>
      <c r="J50" s="9"/>
      <c r="K50" s="9"/>
    </row>
    <row r="51" spans="2:4" ht="23.25" customHeight="1">
      <c r="B51" s="9"/>
      <c r="C51" s="9"/>
      <c r="D51" s="9"/>
    </row>
    <row r="52" spans="2:4" ht="23.25" customHeight="1">
      <c r="B52" s="9"/>
      <c r="C52" s="9"/>
      <c r="D52" s="9"/>
    </row>
    <row r="53" spans="2:4" ht="23.25" customHeight="1">
      <c r="B53" s="9"/>
      <c r="C53" s="9"/>
      <c r="D53" s="9"/>
    </row>
    <row r="54" spans="2:4" ht="23.25" customHeight="1">
      <c r="B54" s="9"/>
      <c r="C54" s="9"/>
      <c r="D54" s="9"/>
    </row>
    <row r="55" spans="2:4" ht="23.25" customHeight="1">
      <c r="B55" s="9"/>
      <c r="D55" s="9"/>
    </row>
    <row r="56" ht="23.25" customHeight="1">
      <c r="D56" s="9"/>
    </row>
  </sheetData>
  <sheetProtection formatCells="0"/>
  <mergeCells count="15">
    <mergeCell ref="B19:C19"/>
    <mergeCell ref="B20:C20"/>
    <mergeCell ref="B21:C21"/>
    <mergeCell ref="B22:C22"/>
    <mergeCell ref="B2:G2"/>
    <mergeCell ref="B16:F16"/>
    <mergeCell ref="A1:G1"/>
    <mergeCell ref="A2:A15"/>
    <mergeCell ref="B7:G7"/>
    <mergeCell ref="F5:F6"/>
    <mergeCell ref="B17:C17"/>
    <mergeCell ref="B18:C18"/>
    <mergeCell ref="B8:C8"/>
    <mergeCell ref="F8:G8"/>
    <mergeCell ref="D8:E8"/>
  </mergeCells>
  <hyperlinks>
    <hyperlink ref="D17" location="'基準点 (TS その1)'!A1" tooltip="基準点　(TS その1)シートへ移動" display="&gt;&gt;"/>
    <hyperlink ref="D18" location="'基準点 (TS その2)'!A1" tooltip="基準点　(TS その2)シートへ移動" display="&gt;&gt;"/>
    <hyperlink ref="D19" location="'基準点 (GPS)'!A1" tooltip="基準点　(GPS)へ移動" display="&gt;&gt;"/>
    <hyperlink ref="D20" location="'水準測量 (その1)'!A1" tooltip="水準測量　(その1)へ移動" display="&gt;&gt;"/>
    <hyperlink ref="D21" location="'水準測量 (その2)'!A1" tooltip="水準測量　(その2)へ移動" display="&gt;&gt;"/>
    <hyperlink ref="D22" location="簡易水準!A1" tooltip="簡易水準シートへ移動" display="&gt;&gt;"/>
    <hyperlink ref="F17" location="'路線,河川,海浜,用地'!A1" tooltip="路線、河川、海浜、用地シートへ移動" display="&gt;&gt;"/>
    <hyperlink ref="F18" location="横断!A1" tooltip="横断シートへ移動" display="&gt;&gt;"/>
    <hyperlink ref="F19" location="縦断!A1" tooltip="縦断シートへ移動" display="&gt;&gt;"/>
    <hyperlink ref="F20" location="現況測量!A1" display="&gt;&gt;"/>
    <hyperlink ref="F21:F22" r:id="rId1" display="&gt;&gt;"/>
    <hyperlink ref="F21" location="用地平面図!A1" display="&gt;&gt;"/>
    <hyperlink ref="F22" location="用地実測図原図!A1" display="&gt;&gt;"/>
  </hyperlinks>
  <printOptions horizontalCentered="1" verticalCentered="1"/>
  <pageMargins left="0.7874015748031497" right="0.7874015748031497" top="0.3937007874015748" bottom="0.3937007874015748" header="0.5118110236220472" footer="0.5118110236220472"/>
  <pageSetup blackAndWhite="1"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>
    <tabColor indexed="42"/>
    <pageSetUpPr fitToPage="1"/>
  </sheetPr>
  <dimension ref="A1:BF53"/>
  <sheetViews>
    <sheetView showGridLines="0" showRowColHeaders="0" workbookViewId="0" topLeftCell="A1">
      <selection activeCell="A1" sqref="A1"/>
    </sheetView>
  </sheetViews>
  <sheetFormatPr defaultColWidth="8.625" defaultRowHeight="13.5"/>
  <cols>
    <col min="1" max="1" width="5.00390625" style="0" customWidth="1"/>
    <col min="2" max="5" width="2.625" style="7" customWidth="1"/>
    <col min="6" max="17" width="2.625" style="0" customWidth="1"/>
    <col min="18" max="28" width="2.625" style="7" customWidth="1"/>
    <col min="29" max="33" width="2.625" style="0" customWidth="1"/>
    <col min="34" max="41" width="2.625" style="7" customWidth="1"/>
    <col min="42" max="45" width="2.625" style="31" customWidth="1"/>
    <col min="46" max="49" width="2.625" style="0" customWidth="1"/>
    <col min="50" max="51" width="10.625" style="0" customWidth="1"/>
    <col min="52" max="53" width="15.875" style="0" hidden="1" customWidth="1"/>
    <col min="54" max="56" width="15.875" style="44" hidden="1" customWidth="1"/>
    <col min="57" max="57" width="15.875" style="0" customWidth="1"/>
    <col min="58" max="58" width="6.75390625" style="0" customWidth="1"/>
  </cols>
  <sheetData>
    <row r="1" spans="1:49" ht="21" customHeight="1">
      <c r="A1" s="12"/>
      <c r="B1" s="495"/>
      <c r="C1" s="495"/>
      <c r="D1" s="495"/>
      <c r="E1" s="495"/>
      <c r="F1" s="495"/>
      <c r="G1" s="495"/>
      <c r="H1" s="495"/>
      <c r="I1" s="495"/>
      <c r="J1" s="495"/>
      <c r="K1" s="495"/>
      <c r="L1" s="495"/>
      <c r="M1" s="495"/>
      <c r="N1" s="495"/>
      <c r="O1" s="495"/>
      <c r="P1" s="495"/>
      <c r="Q1" s="495"/>
      <c r="R1" s="495"/>
      <c r="S1" s="495"/>
      <c r="T1" s="495"/>
      <c r="U1" s="495"/>
      <c r="V1" s="495"/>
      <c r="W1" s="495"/>
      <c r="X1" s="495"/>
      <c r="Y1" s="495"/>
      <c r="Z1" s="495"/>
      <c r="AA1" s="495"/>
      <c r="AB1" s="495"/>
      <c r="AC1" s="495"/>
      <c r="AD1" s="495"/>
      <c r="AE1" s="495"/>
      <c r="AF1" s="495"/>
      <c r="AG1" s="495"/>
      <c r="AH1" s="495"/>
      <c r="AI1" s="495"/>
      <c r="AJ1" s="495"/>
      <c r="AK1" s="495"/>
      <c r="AL1" s="495"/>
      <c r="AM1" s="495"/>
      <c r="AN1" s="495"/>
      <c r="AO1" s="495"/>
      <c r="AP1" s="495"/>
      <c r="AQ1" s="495"/>
      <c r="AR1" s="495"/>
      <c r="AS1" s="495"/>
      <c r="AT1" s="495"/>
      <c r="AU1" s="495"/>
      <c r="AV1" s="495"/>
      <c r="AW1" s="495"/>
    </row>
    <row r="2" spans="2:58" ht="24" customHeight="1">
      <c r="B2" s="488" t="s">
        <v>388</v>
      </c>
      <c r="C2" s="488"/>
      <c r="D2" s="488"/>
      <c r="E2" s="488"/>
      <c r="F2" s="475" t="s">
        <v>406</v>
      </c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BE2" s="34"/>
      <c r="BF2" s="34"/>
    </row>
    <row r="3" spans="2:58" ht="21" customHeight="1">
      <c r="B3" s="458" t="s">
        <v>44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BE3" s="33"/>
      <c r="BF3" s="33"/>
    </row>
    <row r="4" spans="2:58" ht="21" customHeight="1" thickBot="1"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996"/>
      <c r="M4" s="996"/>
      <c r="N4" s="996"/>
      <c r="O4" s="996"/>
      <c r="P4" s="996"/>
      <c r="Q4" s="996"/>
      <c r="R4" s="996"/>
      <c r="S4" s="996"/>
      <c r="T4" s="996"/>
      <c r="U4" s="997"/>
      <c r="V4" s="997"/>
      <c r="W4" s="997"/>
      <c r="X4" s="997"/>
      <c r="Y4" s="997"/>
      <c r="Z4" s="997"/>
      <c r="AA4" s="997"/>
      <c r="AB4" s="997"/>
      <c r="AC4" s="997"/>
      <c r="AD4" s="997"/>
      <c r="AE4" s="997"/>
      <c r="AF4" s="997"/>
      <c r="AG4" s="997"/>
      <c r="AH4" s="997"/>
      <c r="AI4" s="997"/>
      <c r="AJ4" s="997"/>
      <c r="AK4" s="997"/>
      <c r="AL4" s="994" t="s">
        <v>497</v>
      </c>
      <c r="AM4" s="995"/>
      <c r="AN4" s="995"/>
      <c r="AO4" s="995"/>
      <c r="AP4" s="995"/>
      <c r="AQ4" s="995"/>
      <c r="AR4" s="995"/>
      <c r="AS4" s="995"/>
      <c r="AT4" s="995"/>
      <c r="AU4" s="995"/>
      <c r="AV4" s="995"/>
      <c r="AW4" s="995"/>
      <c r="BE4" s="33"/>
      <c r="BF4" s="33"/>
    </row>
    <row r="5" spans="2:49" ht="24" customHeight="1" thickBot="1">
      <c r="B5" s="992" t="s">
        <v>84</v>
      </c>
      <c r="C5" s="993"/>
      <c r="D5" s="993"/>
      <c r="E5" s="993"/>
      <c r="F5" s="472" t="s">
        <v>29</v>
      </c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4"/>
      <c r="U5" s="463" t="s">
        <v>86</v>
      </c>
      <c r="V5" s="464"/>
      <c r="W5" s="464"/>
      <c r="X5" s="465"/>
      <c r="Y5" s="472" t="s">
        <v>61</v>
      </c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4"/>
      <c r="AL5" s="995"/>
      <c r="AM5" s="995"/>
      <c r="AN5" s="995"/>
      <c r="AO5" s="995"/>
      <c r="AP5" s="995"/>
      <c r="AQ5" s="995"/>
      <c r="AR5" s="995"/>
      <c r="AS5" s="995"/>
      <c r="AT5" s="995"/>
      <c r="AU5" s="995"/>
      <c r="AV5" s="995"/>
      <c r="AW5" s="995"/>
    </row>
    <row r="6" spans="2:49" ht="21" customHeight="1">
      <c r="B6" s="998"/>
      <c r="C6" s="998"/>
      <c r="D6" s="998"/>
      <c r="E6" s="998"/>
      <c r="F6" s="998"/>
      <c r="G6" s="998"/>
      <c r="H6" s="998"/>
      <c r="I6" s="998"/>
      <c r="J6" s="998"/>
      <c r="K6" s="998"/>
      <c r="L6" s="998"/>
      <c r="M6" s="998"/>
      <c r="N6" s="998"/>
      <c r="O6" s="998"/>
      <c r="P6" s="998"/>
      <c r="Q6" s="998"/>
      <c r="R6" s="998"/>
      <c r="S6" s="998"/>
      <c r="T6" s="998"/>
      <c r="U6" s="999"/>
      <c r="V6" s="999"/>
      <c r="W6" s="999"/>
      <c r="X6" s="999"/>
      <c r="Y6" s="999"/>
      <c r="Z6" s="999"/>
      <c r="AA6" s="999"/>
      <c r="AB6" s="999"/>
      <c r="AC6" s="999"/>
      <c r="AD6" s="999"/>
      <c r="AE6" s="999"/>
      <c r="AF6" s="999"/>
      <c r="AG6" s="999"/>
      <c r="AH6" s="999"/>
      <c r="AI6" s="999"/>
      <c r="AJ6" s="999"/>
      <c r="AK6" s="999"/>
      <c r="AL6" s="995"/>
      <c r="AM6" s="995"/>
      <c r="AN6" s="995"/>
      <c r="AO6" s="995"/>
      <c r="AP6" s="995"/>
      <c r="AQ6" s="995"/>
      <c r="AR6" s="995"/>
      <c r="AS6" s="995"/>
      <c r="AT6" s="995"/>
      <c r="AU6" s="995"/>
      <c r="AV6" s="995"/>
      <c r="AW6" s="995"/>
    </row>
    <row r="7" spans="2:49" ht="30" customHeight="1">
      <c r="B7" s="728" t="str">
        <f>IF(F5&lt;&gt;BB11,F5&amp;" 精 度 管 理 表",F5)</f>
        <v>3 級 水 準 測 量 精 度 管 理 表</v>
      </c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728"/>
      <c r="AA7" s="728"/>
      <c r="AB7" s="728"/>
      <c r="AC7" s="728"/>
      <c r="AD7" s="728"/>
      <c r="AE7" s="728"/>
      <c r="AF7" s="728"/>
      <c r="AG7" s="728"/>
      <c r="AH7" s="728"/>
      <c r="AI7" s="728"/>
      <c r="AJ7" s="728"/>
      <c r="AK7" s="728"/>
      <c r="AL7" s="728"/>
      <c r="AM7" s="728"/>
      <c r="AN7" s="728"/>
      <c r="AO7" s="728"/>
      <c r="AP7" s="728"/>
      <c r="AQ7" s="728"/>
      <c r="AR7" s="728"/>
      <c r="AS7" s="728"/>
      <c r="AT7" s="728"/>
      <c r="AU7" s="728"/>
      <c r="AV7" s="728"/>
      <c r="AW7" s="728"/>
    </row>
    <row r="8" spans="1:56" s="7" customFormat="1" ht="30" customHeight="1">
      <c r="A8" s="3"/>
      <c r="B8" s="1000" t="s">
        <v>45</v>
      </c>
      <c r="C8" s="1000"/>
      <c r="D8" s="1000"/>
      <c r="E8" s="938" t="str">
        <f>IF($BK$12=1,"",IF('業務情報'!$C$3="","",'業務情報'!$C$3))</f>
        <v>平成２６年度
○○測量業務</v>
      </c>
      <c r="F8" s="939"/>
      <c r="G8" s="939"/>
      <c r="H8" s="939"/>
      <c r="I8" s="939"/>
      <c r="J8" s="939"/>
      <c r="K8" s="939"/>
      <c r="L8" s="940"/>
      <c r="M8" s="1000" t="s">
        <v>46</v>
      </c>
      <c r="N8" s="1000"/>
      <c r="O8" s="1000"/>
      <c r="P8" s="1004" t="str">
        <f>IF($BJ$12=1,"",IF('業務情報'!$C$6="","",'業務情報'!$C$6))</f>
        <v>○○市　○○地区</v>
      </c>
      <c r="Q8" s="1004"/>
      <c r="R8" s="1004"/>
      <c r="S8" s="1004"/>
      <c r="T8" s="1004"/>
      <c r="U8" s="1004"/>
      <c r="V8" s="1004"/>
      <c r="W8" s="1000" t="s">
        <v>126</v>
      </c>
      <c r="X8" s="1000"/>
      <c r="Y8" s="1000"/>
      <c r="Z8" s="508" t="str">
        <f>IF($BJ$12=1,"",IF('業務情報'!$E$3="","",'業務情報'!$E$3))</f>
        <v>○○地方整備局
○○事務所</v>
      </c>
      <c r="AA8" s="509"/>
      <c r="AB8" s="509"/>
      <c r="AC8" s="509"/>
      <c r="AD8" s="509"/>
      <c r="AE8" s="510"/>
      <c r="AF8" s="1000" t="s">
        <v>127</v>
      </c>
      <c r="AG8" s="1000"/>
      <c r="AH8" s="1000"/>
      <c r="AI8" s="1002" t="str">
        <f>IF($BJ$12=1,"",IF('業務情報'!$E$4="","",IF('業務情報'!$E$4="","",'業務情報'!$E$4)))</f>
        <v>（有）サーベイテック</v>
      </c>
      <c r="AJ8" s="1002"/>
      <c r="AK8" s="1002"/>
      <c r="AL8" s="1002"/>
      <c r="AM8" s="1002"/>
      <c r="AN8" s="1002"/>
      <c r="AO8" s="1000" t="s">
        <v>48</v>
      </c>
      <c r="AP8" s="1000"/>
      <c r="AQ8" s="1000"/>
      <c r="AR8" s="507" t="str">
        <f>IF($BJ$12=1,"",IF('業務情報'!$G$4="","",'業務情報'!$G$4))</f>
        <v>曽木亜　説戸</v>
      </c>
      <c r="AS8" s="496"/>
      <c r="AT8" s="496"/>
      <c r="AU8" s="496"/>
      <c r="AV8" s="496"/>
      <c r="AW8" s="62" t="s">
        <v>125</v>
      </c>
      <c r="AX8"/>
      <c r="AY8"/>
      <c r="AZ8"/>
      <c r="BA8"/>
      <c r="BB8" s="44"/>
      <c r="BC8" s="44"/>
      <c r="BD8" s="44"/>
    </row>
    <row r="9" spans="1:56" s="7" customFormat="1" ht="30" customHeight="1">
      <c r="A9" s="30"/>
      <c r="B9" s="1000" t="s">
        <v>88</v>
      </c>
      <c r="C9" s="1000"/>
      <c r="D9" s="1000"/>
      <c r="E9" s="1003" t="str">
        <f>IF($BK$12=1,"",IF('業務情報'!$C$4="","",'業務情報'!$C$4))</f>
        <v>道路整備計画</v>
      </c>
      <c r="F9" s="1003"/>
      <c r="G9" s="1003"/>
      <c r="H9" s="1003"/>
      <c r="I9" s="1003"/>
      <c r="J9" s="1003"/>
      <c r="K9" s="1003"/>
      <c r="L9" s="1003"/>
      <c r="M9" s="1000" t="s">
        <v>50</v>
      </c>
      <c r="N9" s="1000"/>
      <c r="O9" s="1000"/>
      <c r="P9" s="1005" t="str">
        <f>IF($BJ$12=1,"",IF('業務情報'!$E$5="","",'業務情報'!$E$5))</f>
        <v>自 平成26年10月10日
至 平成27年3月15日</v>
      </c>
      <c r="Q9" s="1006"/>
      <c r="R9" s="1006"/>
      <c r="S9" s="1006"/>
      <c r="T9" s="1006"/>
      <c r="U9" s="1006"/>
      <c r="V9" s="1007"/>
      <c r="W9" s="1000" t="s">
        <v>131</v>
      </c>
      <c r="X9" s="1000"/>
      <c r="Y9" s="1000"/>
      <c r="Z9" s="1001" t="s">
        <v>641</v>
      </c>
      <c r="AA9" s="511"/>
      <c r="AB9" s="511"/>
      <c r="AC9" s="511"/>
      <c r="AD9" s="511"/>
      <c r="AE9" s="512"/>
      <c r="AF9" s="1000" t="s">
        <v>51</v>
      </c>
      <c r="AG9" s="1000"/>
      <c r="AH9" s="1000"/>
      <c r="AI9" s="507" t="str">
        <f>IF($BJ$12=1,"",IF('業務情報'!$G$3="","",'業務情報'!$G$3))</f>
        <v>兎位瑠度　逓津宇</v>
      </c>
      <c r="AJ9" s="496"/>
      <c r="AK9" s="496"/>
      <c r="AL9" s="496"/>
      <c r="AM9" s="496"/>
      <c r="AN9" s="62" t="s">
        <v>125</v>
      </c>
      <c r="AO9" s="1000" t="s">
        <v>52</v>
      </c>
      <c r="AP9" s="1000"/>
      <c r="AQ9" s="1000"/>
      <c r="AR9" s="991"/>
      <c r="AS9" s="991"/>
      <c r="AT9" s="991"/>
      <c r="AU9" s="991"/>
      <c r="AV9" s="991"/>
      <c r="AW9" s="991"/>
      <c r="AX9"/>
      <c r="AY9"/>
      <c r="AZ9"/>
      <c r="BA9"/>
      <c r="BB9" s="44"/>
      <c r="BC9" s="44"/>
      <c r="BD9" s="44"/>
    </row>
    <row r="10" spans="1:49" ht="12" customHeight="1">
      <c r="A10" s="9"/>
      <c r="B10" s="880"/>
      <c r="C10" s="880"/>
      <c r="D10" s="880"/>
      <c r="E10" s="880"/>
      <c r="F10" s="880"/>
      <c r="G10" s="880"/>
      <c r="H10" s="880"/>
      <c r="I10" s="880"/>
      <c r="J10" s="880"/>
      <c r="K10" s="880"/>
      <c r="L10" s="880"/>
      <c r="M10" s="880"/>
      <c r="N10" s="880"/>
      <c r="O10" s="880"/>
      <c r="P10" s="880"/>
      <c r="Q10" s="880"/>
      <c r="R10" s="880"/>
      <c r="S10" s="880"/>
      <c r="T10" s="880"/>
      <c r="U10" s="880"/>
      <c r="V10" s="880"/>
      <c r="W10" s="880"/>
      <c r="X10" s="880"/>
      <c r="Y10" s="880"/>
      <c r="Z10" s="880"/>
      <c r="AA10" s="880"/>
      <c r="AB10" s="880"/>
      <c r="AC10" s="880"/>
      <c r="AD10" s="880"/>
      <c r="AE10" s="880"/>
      <c r="AF10" s="880"/>
      <c r="AG10" s="880"/>
      <c r="AH10" s="880"/>
      <c r="AI10" s="880"/>
      <c r="AJ10" s="880"/>
      <c r="AK10" s="880"/>
      <c r="AL10" s="880"/>
      <c r="AM10" s="880"/>
      <c r="AN10" s="880"/>
      <c r="AO10" s="880"/>
      <c r="AP10" s="880"/>
      <c r="AQ10" s="880"/>
      <c r="AR10" s="880"/>
      <c r="AS10" s="880"/>
      <c r="AT10" s="880"/>
      <c r="AU10" s="880"/>
      <c r="AV10" s="880"/>
      <c r="AW10" s="880"/>
    </row>
    <row r="11" spans="1:56" ht="24" customHeight="1">
      <c r="A11" s="9"/>
      <c r="B11" s="1047" t="s">
        <v>71</v>
      </c>
      <c r="C11" s="1030"/>
      <c r="D11" s="1030"/>
      <c r="E11" s="1047"/>
      <c r="F11" s="1008" t="s">
        <v>510</v>
      </c>
      <c r="G11" s="1009"/>
      <c r="H11" s="1009"/>
      <c r="I11" s="1010"/>
      <c r="J11" s="1008" t="s">
        <v>509</v>
      </c>
      <c r="K11" s="1009"/>
      <c r="L11" s="1009"/>
      <c r="M11" s="1010"/>
      <c r="N11" s="1011" t="s">
        <v>488</v>
      </c>
      <c r="O11" s="1012"/>
      <c r="P11" s="1012"/>
      <c r="Q11" s="1013"/>
      <c r="R11" s="1044" t="s">
        <v>55</v>
      </c>
      <c r="S11" s="1045"/>
      <c r="T11" s="1045"/>
      <c r="U11" s="1046"/>
      <c r="V11" s="1029" t="s">
        <v>71</v>
      </c>
      <c r="W11" s="1029"/>
      <c r="X11" s="1029"/>
      <c r="Y11" s="1030"/>
      <c r="Z11" s="1008" t="s">
        <v>510</v>
      </c>
      <c r="AA11" s="1009"/>
      <c r="AB11" s="1009"/>
      <c r="AC11" s="1010"/>
      <c r="AD11" s="1008" t="s">
        <v>509</v>
      </c>
      <c r="AE11" s="1009"/>
      <c r="AF11" s="1009"/>
      <c r="AG11" s="1010"/>
      <c r="AH11" s="1011" t="s">
        <v>488</v>
      </c>
      <c r="AI11" s="1012"/>
      <c r="AJ11" s="1012"/>
      <c r="AK11" s="1013"/>
      <c r="AL11" s="1044" t="s">
        <v>55</v>
      </c>
      <c r="AM11" s="1045"/>
      <c r="AN11" s="1045"/>
      <c r="AO11" s="1046"/>
      <c r="AP11" s="1028" t="s">
        <v>132</v>
      </c>
      <c r="AQ11" s="1029"/>
      <c r="AR11" s="1029"/>
      <c r="AS11" s="1029"/>
      <c r="AT11" s="1029"/>
      <c r="AU11" s="1029"/>
      <c r="AV11" s="1029"/>
      <c r="AW11" s="1030"/>
      <c r="BB11" s="45" t="s">
        <v>122</v>
      </c>
      <c r="BC11" s="46" t="s">
        <v>85</v>
      </c>
      <c r="BD11" s="47" t="s">
        <v>87</v>
      </c>
    </row>
    <row r="12" spans="1:56" ht="24" customHeight="1">
      <c r="A12" s="9"/>
      <c r="B12" s="1017" t="s">
        <v>642</v>
      </c>
      <c r="C12" s="1018"/>
      <c r="D12" s="1018"/>
      <c r="E12" s="1017"/>
      <c r="F12" s="1019">
        <v>0.44</v>
      </c>
      <c r="G12" s="1020"/>
      <c r="H12" s="1020"/>
      <c r="I12" s="1021"/>
      <c r="J12" s="1025">
        <v>1</v>
      </c>
      <c r="K12" s="1026"/>
      <c r="L12" s="1026"/>
      <c r="M12" s="1027"/>
      <c r="N12" s="1014">
        <f aca="true" t="shared" si="0" ref="N12:N25">IF(AND(B12="",F12=""),"",IF(AZ12&lt;&gt;0,INDEX($BB$21:$BB$25,AZ12,1),ROUNDDOWN(IF(LEN(R12)&lt;30,IF($BD$19&lt;5,INDEX($BD$12:$BD$15,$BD$19,1),INDEX($BD$14:$BD$15,$BC$17,1))*ABS(F12)^0.5,IF($BD$19&lt;5,INDEX($BC$12:$BC$15,$BD$19,1),INDEX($BC$14:$BC$15,$BC$17,1))*ABS(F12)^0.5),IF($BD$19=1,1,IF($BD$19=2,0,0)))))</f>
        <v>6</v>
      </c>
      <c r="O12" s="1015"/>
      <c r="P12" s="1015"/>
      <c r="Q12" s="1016"/>
      <c r="R12" s="1022" t="s">
        <v>27</v>
      </c>
      <c r="S12" s="1023"/>
      <c r="T12" s="1023"/>
      <c r="U12" s="1024"/>
      <c r="V12" s="1017"/>
      <c r="W12" s="1018"/>
      <c r="X12" s="1018"/>
      <c r="Y12" s="1017"/>
      <c r="Z12" s="1019"/>
      <c r="AA12" s="1020"/>
      <c r="AB12" s="1020"/>
      <c r="AC12" s="1021"/>
      <c r="AD12" s="1025"/>
      <c r="AE12" s="1026"/>
      <c r="AF12" s="1026"/>
      <c r="AG12" s="1027"/>
      <c r="AH12" s="1014">
        <f aca="true" t="shared" si="1" ref="AH12:AH25">IF(AND(V12="",Z12=""),"",IF(BA12&lt;&gt;0,INDEX($BB$21:$BB$25,BA12,1),ROUNDDOWN(IF(LEN(AL12)&lt;30,IF($BD$19&lt;5,INDEX($BD$12:$BD$15,$BD$19,1),INDEX($BD$14:$BD$15,$BC$17,1))*ABS(Z12)^0.5,IF($BD$19&lt;5,INDEX($BC$12:$BC$15,$BD$19,1),INDEX($BC$14:$BC$15,$BC$17,1))*ABS(Z12)^0.5),IF($BD$19=1,1,IF($BD$19=2,0,0)))))</f>
      </c>
      <c r="AI12" s="1015"/>
      <c r="AJ12" s="1015"/>
      <c r="AK12" s="1016"/>
      <c r="AL12" s="1022"/>
      <c r="AM12" s="1023"/>
      <c r="AN12" s="1023"/>
      <c r="AO12" s="1024"/>
      <c r="AP12" s="826" t="str">
        <f>'業務情報'!G5</f>
        <v>加亜瑠　番辺留比</v>
      </c>
      <c r="AQ12" s="826"/>
      <c r="AR12" s="826"/>
      <c r="AS12" s="826"/>
      <c r="AT12" s="826"/>
      <c r="AU12" s="826"/>
      <c r="AV12" s="826"/>
      <c r="AW12" s="827"/>
      <c r="AZ12" s="101">
        <f>IF(AND($BC$17=0,$BD$19=5),3,IF(F12="",4,IF($BD$19=0,2,IF(IF(LEN(R12)&lt;30,R12&lt;&gt;$BD$18,IF(LEN(R12)&gt;30,R12&lt;&gt;$BD$17,R12&lt;&gt;$BD$20)),5,IF(AND(F12&lt;&gt;"",B12=""),1,0)))))</f>
        <v>0</v>
      </c>
      <c r="BA12" s="98">
        <f>IF(AND($BC$17=0,$BD$19=5),3,IF(Z12="",4,IF($BD$19=0,2,IF(IF(LEN(AL12)&lt;30,AL12&lt;&gt;$BD$18,IF(LEN(AL12)&gt;30,AL12&lt;&gt;$BD$17,AL12&lt;&gt;$BD$20)),5,IF(AND(Z12&lt;&gt;"",V12=""),1,0)))))</f>
        <v>4</v>
      </c>
      <c r="BB12" s="48" t="s">
        <v>36</v>
      </c>
      <c r="BC12" s="49">
        <v>2</v>
      </c>
      <c r="BD12" s="50">
        <v>15</v>
      </c>
    </row>
    <row r="13" spans="1:56" ht="24" customHeight="1">
      <c r="A13" s="9"/>
      <c r="B13" s="1017" t="s">
        <v>643</v>
      </c>
      <c r="C13" s="1018"/>
      <c r="D13" s="1018"/>
      <c r="E13" s="1017"/>
      <c r="F13" s="1019">
        <v>0.44</v>
      </c>
      <c r="G13" s="1020"/>
      <c r="H13" s="1020"/>
      <c r="I13" s="1021"/>
      <c r="J13" s="1025">
        <v>2</v>
      </c>
      <c r="K13" s="1026"/>
      <c r="L13" s="1026"/>
      <c r="M13" s="1027"/>
      <c r="N13" s="1014">
        <f t="shared" si="0"/>
        <v>6</v>
      </c>
      <c r="O13" s="1015"/>
      <c r="P13" s="1015"/>
      <c r="Q13" s="1016"/>
      <c r="R13" s="1022" t="s">
        <v>27</v>
      </c>
      <c r="S13" s="1023"/>
      <c r="T13" s="1023"/>
      <c r="U13" s="1024"/>
      <c r="V13" s="1017"/>
      <c r="W13" s="1018"/>
      <c r="X13" s="1018"/>
      <c r="Y13" s="1017"/>
      <c r="Z13" s="1019"/>
      <c r="AA13" s="1020"/>
      <c r="AB13" s="1020"/>
      <c r="AC13" s="1021"/>
      <c r="AD13" s="1025"/>
      <c r="AE13" s="1026"/>
      <c r="AF13" s="1026"/>
      <c r="AG13" s="1027"/>
      <c r="AH13" s="1014">
        <f t="shared" si="1"/>
      </c>
      <c r="AI13" s="1015"/>
      <c r="AJ13" s="1015"/>
      <c r="AK13" s="1016"/>
      <c r="AL13" s="1022"/>
      <c r="AM13" s="1023"/>
      <c r="AN13" s="1023"/>
      <c r="AO13" s="1024"/>
      <c r="AP13" s="826" t="str">
        <f>'業務情報'!G6</f>
        <v>時尾次　名太</v>
      </c>
      <c r="AQ13" s="826"/>
      <c r="AR13" s="826"/>
      <c r="AS13" s="826"/>
      <c r="AT13" s="826"/>
      <c r="AU13" s="826"/>
      <c r="AV13" s="826"/>
      <c r="AW13" s="827"/>
      <c r="AZ13" s="103">
        <f aca="true" t="shared" si="2" ref="AZ13:AZ25">IF(AND($BC$17=0,$BD$19=5),3,IF(F13="",4,IF($BD$19=0,2,IF(IF(LEN(R13)&lt;30,R13&lt;&gt;$BD$18,IF(LEN(R13)&gt;30,R13&lt;&gt;$BD$17,R13&lt;&gt;$BD$20)),5,IF(AND(F13&lt;&gt;"",B13=""),1,0)))))</f>
        <v>0</v>
      </c>
      <c r="BA13" s="99">
        <f aca="true" t="shared" si="3" ref="BA13:BA25">IF(AND($BC$17=0,$BD$19=5),3,IF(Z13="",4,IF($BD$19=0,2,IF(IF(LEN(AL13)&lt;30,AL13&lt;&gt;$BD$18,IF(LEN(AL13)&gt;30,AL13&lt;&gt;$BD$17,AL13&lt;&gt;$BD$20)),5,IF(AND(Z13&lt;&gt;"",V13=""),1,0)))))</f>
        <v>4</v>
      </c>
      <c r="BB13" s="48" t="s">
        <v>37</v>
      </c>
      <c r="BC13" s="49">
        <v>5</v>
      </c>
      <c r="BD13" s="50">
        <v>15</v>
      </c>
    </row>
    <row r="14" spans="1:56" ht="24" customHeight="1">
      <c r="A14" s="9"/>
      <c r="B14" s="1017" t="s">
        <v>644</v>
      </c>
      <c r="C14" s="1018"/>
      <c r="D14" s="1018"/>
      <c r="E14" s="1017"/>
      <c r="F14" s="1019">
        <v>0.6</v>
      </c>
      <c r="G14" s="1020"/>
      <c r="H14" s="1020"/>
      <c r="I14" s="1021"/>
      <c r="J14" s="1025">
        <v>2</v>
      </c>
      <c r="K14" s="1026"/>
      <c r="L14" s="1026"/>
      <c r="M14" s="1027"/>
      <c r="N14" s="1014">
        <f t="shared" si="0"/>
        <v>7</v>
      </c>
      <c r="O14" s="1015"/>
      <c r="P14" s="1015"/>
      <c r="Q14" s="1016"/>
      <c r="R14" s="1022" t="s">
        <v>27</v>
      </c>
      <c r="S14" s="1023"/>
      <c r="T14" s="1023"/>
      <c r="U14" s="1024"/>
      <c r="V14" s="1017"/>
      <c r="W14" s="1018"/>
      <c r="X14" s="1018"/>
      <c r="Y14" s="1017"/>
      <c r="Z14" s="1019"/>
      <c r="AA14" s="1020"/>
      <c r="AB14" s="1020"/>
      <c r="AC14" s="1021"/>
      <c r="AD14" s="1025"/>
      <c r="AE14" s="1026"/>
      <c r="AF14" s="1026"/>
      <c r="AG14" s="1027"/>
      <c r="AH14" s="1014">
        <f t="shared" si="1"/>
      </c>
      <c r="AI14" s="1015"/>
      <c r="AJ14" s="1015"/>
      <c r="AK14" s="1016"/>
      <c r="AL14" s="1022"/>
      <c r="AM14" s="1023"/>
      <c r="AN14" s="1023"/>
      <c r="AO14" s="1024"/>
      <c r="AP14" s="1031" t="s">
        <v>73</v>
      </c>
      <c r="AQ14" s="1032"/>
      <c r="AR14" s="1032"/>
      <c r="AS14" s="1032"/>
      <c r="AT14" s="1032"/>
      <c r="AU14" s="1032"/>
      <c r="AV14" s="1032"/>
      <c r="AW14" s="1033"/>
      <c r="AZ14" s="103">
        <f t="shared" si="2"/>
        <v>0</v>
      </c>
      <c r="BA14" s="99">
        <f t="shared" si="3"/>
        <v>4</v>
      </c>
      <c r="BB14" s="48" t="s">
        <v>38</v>
      </c>
      <c r="BC14" s="49">
        <v>10</v>
      </c>
      <c r="BD14" s="50">
        <v>15</v>
      </c>
    </row>
    <row r="15" spans="1:56" ht="24" customHeight="1">
      <c r="A15" s="9"/>
      <c r="B15" s="1017"/>
      <c r="C15" s="1018"/>
      <c r="D15" s="1018"/>
      <c r="E15" s="1017"/>
      <c r="F15" s="1019"/>
      <c r="G15" s="1020"/>
      <c r="H15" s="1020"/>
      <c r="I15" s="1021"/>
      <c r="J15" s="1025"/>
      <c r="K15" s="1026"/>
      <c r="L15" s="1026"/>
      <c r="M15" s="1027"/>
      <c r="N15" s="1014">
        <f t="shared" si="0"/>
      </c>
      <c r="O15" s="1015"/>
      <c r="P15" s="1015"/>
      <c r="Q15" s="1016"/>
      <c r="R15" s="1022"/>
      <c r="S15" s="1023"/>
      <c r="T15" s="1023"/>
      <c r="U15" s="1024"/>
      <c r="V15" s="1017"/>
      <c r="W15" s="1018"/>
      <c r="X15" s="1018"/>
      <c r="Y15" s="1017"/>
      <c r="Z15" s="1019"/>
      <c r="AA15" s="1020"/>
      <c r="AB15" s="1020"/>
      <c r="AC15" s="1021"/>
      <c r="AD15" s="1025"/>
      <c r="AE15" s="1026"/>
      <c r="AF15" s="1026"/>
      <c r="AG15" s="1027"/>
      <c r="AH15" s="1014">
        <f t="shared" si="1"/>
      </c>
      <c r="AI15" s="1015"/>
      <c r="AJ15" s="1015"/>
      <c r="AK15" s="1016"/>
      <c r="AL15" s="1022"/>
      <c r="AM15" s="1023"/>
      <c r="AN15" s="1023"/>
      <c r="AO15" s="1024"/>
      <c r="AP15" s="982" t="s">
        <v>496</v>
      </c>
      <c r="AQ15" s="983"/>
      <c r="AR15" s="985" t="str">
        <f>IF('業務情報'!G9="","",'業務情報'!G9)</f>
        <v>WILD NA3003A No.206265</v>
      </c>
      <c r="AS15" s="985"/>
      <c r="AT15" s="985"/>
      <c r="AU15" s="985"/>
      <c r="AV15" s="985"/>
      <c r="AW15" s="986"/>
      <c r="AZ15" s="103">
        <f t="shared" si="2"/>
        <v>4</v>
      </c>
      <c r="BA15" s="99">
        <f t="shared" si="3"/>
        <v>4</v>
      </c>
      <c r="BB15" s="48" t="s">
        <v>39</v>
      </c>
      <c r="BC15" s="51">
        <v>20</v>
      </c>
      <c r="BD15" s="52">
        <v>25</v>
      </c>
    </row>
    <row r="16" spans="1:56" ht="24" customHeight="1">
      <c r="A16" s="9"/>
      <c r="B16" s="1017"/>
      <c r="C16" s="1018"/>
      <c r="D16" s="1018"/>
      <c r="E16" s="1017"/>
      <c r="F16" s="1019"/>
      <c r="G16" s="1020"/>
      <c r="H16" s="1020"/>
      <c r="I16" s="1021"/>
      <c r="J16" s="1025"/>
      <c r="K16" s="1026"/>
      <c r="L16" s="1026"/>
      <c r="M16" s="1027"/>
      <c r="N16" s="1014">
        <f t="shared" si="0"/>
      </c>
      <c r="O16" s="1015"/>
      <c r="P16" s="1015"/>
      <c r="Q16" s="1016"/>
      <c r="R16" s="1022"/>
      <c r="S16" s="1023"/>
      <c r="T16" s="1023"/>
      <c r="U16" s="1024"/>
      <c r="V16" s="1017"/>
      <c r="W16" s="1018"/>
      <c r="X16" s="1018"/>
      <c r="Y16" s="1017"/>
      <c r="Z16" s="1019"/>
      <c r="AA16" s="1020"/>
      <c r="AB16" s="1020"/>
      <c r="AC16" s="1021"/>
      <c r="AD16" s="1025"/>
      <c r="AE16" s="1026"/>
      <c r="AF16" s="1026"/>
      <c r="AG16" s="1027"/>
      <c r="AH16" s="1014">
        <f t="shared" si="1"/>
      </c>
      <c r="AI16" s="1015"/>
      <c r="AJ16" s="1015"/>
      <c r="AK16" s="1016"/>
      <c r="AL16" s="1022"/>
      <c r="AM16" s="1023"/>
      <c r="AN16" s="1023"/>
      <c r="AO16" s="1024"/>
      <c r="AP16" s="984"/>
      <c r="AQ16" s="726"/>
      <c r="AR16" s="987" t="str">
        <f>IF('業務情報'!G10="","",'業務情報'!G10)</f>
        <v>SOKKIA PL1 NO.31415927</v>
      </c>
      <c r="AS16" s="987"/>
      <c r="AT16" s="987"/>
      <c r="AU16" s="987"/>
      <c r="AV16" s="987"/>
      <c r="AW16" s="988"/>
      <c r="AZ16" s="103">
        <f t="shared" si="2"/>
        <v>4</v>
      </c>
      <c r="BA16" s="99">
        <f t="shared" si="3"/>
        <v>4</v>
      </c>
      <c r="BB16" s="53" t="s">
        <v>405</v>
      </c>
      <c r="BD16" s="54"/>
    </row>
    <row r="17" spans="1:56" ht="24" customHeight="1">
      <c r="A17" s="9"/>
      <c r="B17" s="1017"/>
      <c r="C17" s="1018"/>
      <c r="D17" s="1018"/>
      <c r="E17" s="1017"/>
      <c r="F17" s="1019"/>
      <c r="G17" s="1020"/>
      <c r="H17" s="1020"/>
      <c r="I17" s="1021"/>
      <c r="J17" s="1025"/>
      <c r="K17" s="1026"/>
      <c r="L17" s="1026"/>
      <c r="M17" s="1027"/>
      <c r="N17" s="1014">
        <f t="shared" si="0"/>
      </c>
      <c r="O17" s="1015"/>
      <c r="P17" s="1015"/>
      <c r="Q17" s="1016"/>
      <c r="R17" s="1022"/>
      <c r="S17" s="1023"/>
      <c r="T17" s="1023"/>
      <c r="U17" s="1024"/>
      <c r="V17" s="1017"/>
      <c r="W17" s="1018"/>
      <c r="X17" s="1018"/>
      <c r="Y17" s="1017"/>
      <c r="Z17" s="1019"/>
      <c r="AA17" s="1020"/>
      <c r="AB17" s="1020"/>
      <c r="AC17" s="1021"/>
      <c r="AD17" s="1025"/>
      <c r="AE17" s="1026"/>
      <c r="AF17" s="1026"/>
      <c r="AG17" s="1027"/>
      <c r="AH17" s="1014">
        <f t="shared" si="1"/>
      </c>
      <c r="AI17" s="1015"/>
      <c r="AJ17" s="1015"/>
      <c r="AK17" s="1016"/>
      <c r="AL17" s="1022"/>
      <c r="AM17" s="1023"/>
      <c r="AN17" s="1023"/>
      <c r="AO17" s="1024"/>
      <c r="AP17" s="984" t="s">
        <v>413</v>
      </c>
      <c r="AQ17" s="726"/>
      <c r="AR17" s="989" t="str">
        <f>IF('業務情報'!G11="","",'業務情報'!G11)</f>
        <v>NEDO GTL4C NO.206265</v>
      </c>
      <c r="AS17" s="989"/>
      <c r="AT17" s="989"/>
      <c r="AU17" s="989"/>
      <c r="AV17" s="989"/>
      <c r="AW17" s="990"/>
      <c r="AZ17" s="103">
        <f t="shared" si="2"/>
        <v>4</v>
      </c>
      <c r="BA17" s="99">
        <f t="shared" si="3"/>
        <v>4</v>
      </c>
      <c r="BC17" s="55">
        <f>IF($BD$19=5,IF($Y$5=$BB$18,0,IF($Y$5=$BB$19,1,2)),0)</f>
        <v>0</v>
      </c>
      <c r="BD17" s="56" t="str">
        <f>IF(OR(AND($BC$17=0,$BD$19=5),$BD$19=0),"",$BC$11&amp;"                    "&amp;IF($BD$19&lt;5,INDEX($BC$12:$BC$15,$BD$19,1)&amp;"mm√S   ",INDEX($BC$14:$BC$15,$BC$17,1)&amp;"mm√S   "))</f>
        <v>環閉合                    10mm√S   </v>
      </c>
    </row>
    <row r="18" spans="1:56" ht="24" customHeight="1">
      <c r="A18" s="9"/>
      <c r="B18" s="1017"/>
      <c r="C18" s="1018"/>
      <c r="D18" s="1018"/>
      <c r="E18" s="1017"/>
      <c r="F18" s="1019"/>
      <c r="G18" s="1020"/>
      <c r="H18" s="1020"/>
      <c r="I18" s="1021"/>
      <c r="J18" s="1025"/>
      <c r="K18" s="1026"/>
      <c r="L18" s="1026"/>
      <c r="M18" s="1027"/>
      <c r="N18" s="1014">
        <f t="shared" si="0"/>
      </c>
      <c r="O18" s="1015"/>
      <c r="P18" s="1015"/>
      <c r="Q18" s="1016"/>
      <c r="R18" s="1022"/>
      <c r="S18" s="1023"/>
      <c r="T18" s="1023"/>
      <c r="U18" s="1024"/>
      <c r="V18" s="1017"/>
      <c r="W18" s="1018"/>
      <c r="X18" s="1018"/>
      <c r="Y18" s="1017"/>
      <c r="Z18" s="1019"/>
      <c r="AA18" s="1020"/>
      <c r="AB18" s="1020"/>
      <c r="AC18" s="1021"/>
      <c r="AD18" s="1025"/>
      <c r="AE18" s="1026"/>
      <c r="AF18" s="1026"/>
      <c r="AG18" s="1027"/>
      <c r="AH18" s="1014">
        <f t="shared" si="1"/>
      </c>
      <c r="AI18" s="1015"/>
      <c r="AJ18" s="1015"/>
      <c r="AK18" s="1016"/>
      <c r="AL18" s="1022"/>
      <c r="AM18" s="1023"/>
      <c r="AN18" s="1023"/>
      <c r="AO18" s="1024"/>
      <c r="AP18" s="984"/>
      <c r="AQ18" s="726"/>
      <c r="AR18" s="989" t="str">
        <f>IF('業務情報'!G12="","",'業務情報'!G12)</f>
        <v>SOKKIA BGS40A NO.206265</v>
      </c>
      <c r="AS18" s="989"/>
      <c r="AT18" s="989"/>
      <c r="AU18" s="989"/>
      <c r="AV18" s="989"/>
      <c r="AW18" s="990"/>
      <c r="AZ18" s="103">
        <f t="shared" si="2"/>
        <v>4</v>
      </c>
      <c r="BA18" s="99">
        <f t="shared" si="3"/>
        <v>4</v>
      </c>
      <c r="BB18" s="54" t="s">
        <v>119</v>
      </c>
      <c r="BD18" s="57" t="str">
        <f>IF(OR(AND($BD$19=5,$BC$17=0),$BD$19=0),"",$BD$11&amp;"               "&amp;IF($BD$19&lt;5,INDEX($BD$12:$BD$15,$BD$19,1)&amp;"mm√S   ",INDEX($BD$14:$BD$15,$BC$17,1)&amp;"mm√S   "))</f>
        <v>既知点結合               15mm√S   </v>
      </c>
    </row>
    <row r="19" spans="1:56" ht="24" customHeight="1">
      <c r="A19" s="9"/>
      <c r="B19" s="1017"/>
      <c r="C19" s="1018"/>
      <c r="D19" s="1018"/>
      <c r="E19" s="1017"/>
      <c r="F19" s="1019"/>
      <c r="G19" s="1020"/>
      <c r="H19" s="1020"/>
      <c r="I19" s="1021"/>
      <c r="J19" s="1025"/>
      <c r="K19" s="1026"/>
      <c r="L19" s="1026"/>
      <c r="M19" s="1027"/>
      <c r="N19" s="1014">
        <f t="shared" si="0"/>
      </c>
      <c r="O19" s="1015"/>
      <c r="P19" s="1015"/>
      <c r="Q19" s="1016"/>
      <c r="R19" s="1022"/>
      <c r="S19" s="1023"/>
      <c r="T19" s="1023"/>
      <c r="U19" s="1024"/>
      <c r="V19" s="1017"/>
      <c r="W19" s="1018"/>
      <c r="X19" s="1018"/>
      <c r="Y19" s="1017"/>
      <c r="Z19" s="1019"/>
      <c r="AA19" s="1020"/>
      <c r="AB19" s="1020"/>
      <c r="AC19" s="1021"/>
      <c r="AD19" s="1025"/>
      <c r="AE19" s="1026"/>
      <c r="AF19" s="1026"/>
      <c r="AG19" s="1027"/>
      <c r="AH19" s="1014">
        <f t="shared" si="1"/>
      </c>
      <c r="AI19" s="1015"/>
      <c r="AJ19" s="1015"/>
      <c r="AK19" s="1016"/>
      <c r="AL19" s="1022"/>
      <c r="AM19" s="1023"/>
      <c r="AN19" s="1023"/>
      <c r="AO19" s="1024"/>
      <c r="AP19" s="1034"/>
      <c r="AQ19" s="826"/>
      <c r="AR19" s="826"/>
      <c r="AS19" s="826"/>
      <c r="AT19" s="826"/>
      <c r="AU19" s="826"/>
      <c r="AV19" s="826"/>
      <c r="AW19" s="827"/>
      <c r="AZ19" s="103">
        <f t="shared" si="2"/>
        <v>4</v>
      </c>
      <c r="BA19" s="99">
        <f t="shared" si="3"/>
        <v>4</v>
      </c>
      <c r="BB19" s="58" t="s">
        <v>60</v>
      </c>
      <c r="BC19" s="44">
        <f>LEN(BD17)</f>
        <v>32</v>
      </c>
      <c r="BD19" s="59">
        <f>IF($F$5=$BB$11,0,IF($F$5=$BB$12,1,IF($F$5=$BB$13,2,IF($F$5=$BB$14,3,IF($F$5=$BB$15,4,5)))))</f>
        <v>3</v>
      </c>
    </row>
    <row r="20" spans="1:55" ht="24" customHeight="1">
      <c r="A20" s="9"/>
      <c r="B20" s="1017"/>
      <c r="C20" s="1018"/>
      <c r="D20" s="1018"/>
      <c r="E20" s="1017"/>
      <c r="F20" s="1019"/>
      <c r="G20" s="1020"/>
      <c r="H20" s="1020"/>
      <c r="I20" s="1021"/>
      <c r="J20" s="1025"/>
      <c r="K20" s="1026"/>
      <c r="L20" s="1026"/>
      <c r="M20" s="1027"/>
      <c r="N20" s="1014">
        <f t="shared" si="0"/>
      </c>
      <c r="O20" s="1015"/>
      <c r="P20" s="1015"/>
      <c r="Q20" s="1016"/>
      <c r="R20" s="1022"/>
      <c r="S20" s="1023"/>
      <c r="T20" s="1023"/>
      <c r="U20" s="1024"/>
      <c r="V20" s="1017"/>
      <c r="W20" s="1018"/>
      <c r="X20" s="1018"/>
      <c r="Y20" s="1017"/>
      <c r="Z20" s="1019"/>
      <c r="AA20" s="1020"/>
      <c r="AB20" s="1020"/>
      <c r="AC20" s="1021"/>
      <c r="AD20" s="1025"/>
      <c r="AE20" s="1026"/>
      <c r="AF20" s="1026"/>
      <c r="AG20" s="1027"/>
      <c r="AH20" s="1014">
        <f t="shared" si="1"/>
      </c>
      <c r="AI20" s="1015"/>
      <c r="AJ20" s="1015"/>
      <c r="AK20" s="1016"/>
      <c r="AL20" s="1022"/>
      <c r="AM20" s="1023"/>
      <c r="AN20" s="1023"/>
      <c r="AO20" s="1024"/>
      <c r="AP20" s="1035"/>
      <c r="AQ20" s="1036"/>
      <c r="AR20" s="1036"/>
      <c r="AS20" s="1036"/>
      <c r="AT20" s="1036"/>
      <c r="AU20" s="1036"/>
      <c r="AV20" s="1036"/>
      <c r="AW20" s="1037"/>
      <c r="AZ20" s="103">
        <f t="shared" si="2"/>
        <v>4</v>
      </c>
      <c r="BA20" s="99">
        <f t="shared" si="3"/>
        <v>4</v>
      </c>
      <c r="BB20" s="53" t="s">
        <v>61</v>
      </c>
      <c r="BC20" s="44">
        <f>LEN(BD18)</f>
        <v>29</v>
      </c>
    </row>
    <row r="21" spans="1:54" ht="24" customHeight="1">
      <c r="A21" s="9"/>
      <c r="B21" s="1017"/>
      <c r="C21" s="1018"/>
      <c r="D21" s="1018"/>
      <c r="E21" s="1017"/>
      <c r="F21" s="1019"/>
      <c r="G21" s="1020"/>
      <c r="H21" s="1020"/>
      <c r="I21" s="1021"/>
      <c r="J21" s="1025"/>
      <c r="K21" s="1026"/>
      <c r="L21" s="1026"/>
      <c r="M21" s="1027"/>
      <c r="N21" s="1014">
        <f t="shared" si="0"/>
      </c>
      <c r="O21" s="1015"/>
      <c r="P21" s="1015"/>
      <c r="Q21" s="1016"/>
      <c r="R21" s="1022"/>
      <c r="S21" s="1023"/>
      <c r="T21" s="1023"/>
      <c r="U21" s="1024"/>
      <c r="V21" s="1017"/>
      <c r="W21" s="1018"/>
      <c r="X21" s="1018"/>
      <c r="Y21" s="1017"/>
      <c r="Z21" s="1019"/>
      <c r="AA21" s="1020"/>
      <c r="AB21" s="1020"/>
      <c r="AC21" s="1021"/>
      <c r="AD21" s="1025"/>
      <c r="AE21" s="1026"/>
      <c r="AF21" s="1026"/>
      <c r="AG21" s="1027"/>
      <c r="AH21" s="1014">
        <f t="shared" si="1"/>
      </c>
      <c r="AI21" s="1015"/>
      <c r="AJ21" s="1015"/>
      <c r="AK21" s="1016"/>
      <c r="AL21" s="1022"/>
      <c r="AM21" s="1023"/>
      <c r="AN21" s="1023"/>
      <c r="AO21" s="1024"/>
      <c r="AP21" s="1031" t="s">
        <v>101</v>
      </c>
      <c r="AQ21" s="1032"/>
      <c r="AR21" s="1032"/>
      <c r="AS21" s="1032"/>
      <c r="AT21" s="1032"/>
      <c r="AU21" s="1032"/>
      <c r="AV21" s="1032"/>
      <c r="AW21" s="1033"/>
      <c r="AZ21" s="103">
        <f t="shared" si="2"/>
        <v>4</v>
      </c>
      <c r="BA21" s="99">
        <f t="shared" si="3"/>
        <v>4</v>
      </c>
      <c r="BB21" s="54" t="s">
        <v>149</v>
      </c>
    </row>
    <row r="22" spans="1:56" ht="24" customHeight="1">
      <c r="A22" s="9"/>
      <c r="B22" s="1017"/>
      <c r="C22" s="1018"/>
      <c r="D22" s="1018"/>
      <c r="E22" s="1017"/>
      <c r="F22" s="1019"/>
      <c r="G22" s="1020"/>
      <c r="H22" s="1020"/>
      <c r="I22" s="1021"/>
      <c r="J22" s="1025"/>
      <c r="K22" s="1026"/>
      <c r="L22" s="1026"/>
      <c r="M22" s="1027"/>
      <c r="N22" s="1014">
        <f t="shared" si="0"/>
      </c>
      <c r="O22" s="1015"/>
      <c r="P22" s="1015"/>
      <c r="Q22" s="1016"/>
      <c r="R22" s="1022"/>
      <c r="S22" s="1023"/>
      <c r="T22" s="1023"/>
      <c r="U22" s="1024"/>
      <c r="V22" s="1017"/>
      <c r="W22" s="1018"/>
      <c r="X22" s="1018"/>
      <c r="Y22" s="1017"/>
      <c r="Z22" s="1019"/>
      <c r="AA22" s="1020"/>
      <c r="AB22" s="1020"/>
      <c r="AC22" s="1021"/>
      <c r="AD22" s="1025"/>
      <c r="AE22" s="1026"/>
      <c r="AF22" s="1026"/>
      <c r="AG22" s="1027"/>
      <c r="AH22" s="1014">
        <f t="shared" si="1"/>
      </c>
      <c r="AI22" s="1015"/>
      <c r="AJ22" s="1015"/>
      <c r="AK22" s="1016"/>
      <c r="AL22" s="1022"/>
      <c r="AM22" s="1023"/>
      <c r="AN22" s="1023"/>
      <c r="AO22" s="1024"/>
      <c r="AP22" s="1034" t="s">
        <v>518</v>
      </c>
      <c r="AQ22" s="826"/>
      <c r="AR22" s="826"/>
      <c r="AS22" s="826"/>
      <c r="AT22" s="826"/>
      <c r="AU22" s="826"/>
      <c r="AV22" s="826"/>
      <c r="AW22" s="827"/>
      <c r="AZ22" s="103">
        <f t="shared" si="2"/>
        <v>4</v>
      </c>
      <c r="BA22" s="99">
        <f t="shared" si="3"/>
        <v>4</v>
      </c>
      <c r="BB22" s="58" t="s">
        <v>275</v>
      </c>
      <c r="BD22" s="181" t="str">
        <f>BB11</f>
        <v>等級を選択してください</v>
      </c>
    </row>
    <row r="23" spans="1:56" ht="24" customHeight="1">
      <c r="A23" s="9"/>
      <c r="B23" s="1017"/>
      <c r="C23" s="1018"/>
      <c r="D23" s="1018"/>
      <c r="E23" s="1017"/>
      <c r="F23" s="1019"/>
      <c r="G23" s="1020"/>
      <c r="H23" s="1020"/>
      <c r="I23" s="1021"/>
      <c r="J23" s="1025"/>
      <c r="K23" s="1026"/>
      <c r="L23" s="1026"/>
      <c r="M23" s="1027"/>
      <c r="N23" s="1014">
        <f t="shared" si="0"/>
      </c>
      <c r="O23" s="1015"/>
      <c r="P23" s="1015"/>
      <c r="Q23" s="1016"/>
      <c r="R23" s="1022"/>
      <c r="S23" s="1023"/>
      <c r="T23" s="1023"/>
      <c r="U23" s="1024"/>
      <c r="V23" s="1017"/>
      <c r="W23" s="1018"/>
      <c r="X23" s="1018"/>
      <c r="Y23" s="1017"/>
      <c r="Z23" s="1019"/>
      <c r="AA23" s="1020"/>
      <c r="AB23" s="1020"/>
      <c r="AC23" s="1021"/>
      <c r="AD23" s="1025"/>
      <c r="AE23" s="1026"/>
      <c r="AF23" s="1026"/>
      <c r="AG23" s="1027"/>
      <c r="AH23" s="1014">
        <f t="shared" si="1"/>
      </c>
      <c r="AI23" s="1015"/>
      <c r="AJ23" s="1015"/>
      <c r="AK23" s="1016"/>
      <c r="AL23" s="1022"/>
      <c r="AM23" s="1023"/>
      <c r="AN23" s="1023"/>
      <c r="AO23" s="1024"/>
      <c r="AP23" s="1038"/>
      <c r="AQ23" s="1039"/>
      <c r="AR23" s="1039"/>
      <c r="AS23" s="1039"/>
      <c r="AT23" s="1039"/>
      <c r="AU23" s="1039"/>
      <c r="AV23" s="1039"/>
      <c r="AW23" s="1040"/>
      <c r="AZ23" s="103">
        <f t="shared" si="2"/>
        <v>4</v>
      </c>
      <c r="BA23" s="99">
        <f t="shared" si="3"/>
        <v>4</v>
      </c>
      <c r="BB23" s="58" t="s">
        <v>278</v>
      </c>
      <c r="BD23" s="182" t="str">
        <f>BB14</f>
        <v>3 級 水 準 測 量</v>
      </c>
    </row>
    <row r="24" spans="1:56" ht="24" customHeight="1">
      <c r="A24" s="9"/>
      <c r="B24" s="1017"/>
      <c r="C24" s="1018"/>
      <c r="D24" s="1018"/>
      <c r="E24" s="1017"/>
      <c r="F24" s="1019"/>
      <c r="G24" s="1020"/>
      <c r="H24" s="1020"/>
      <c r="I24" s="1021"/>
      <c r="J24" s="1025"/>
      <c r="K24" s="1026"/>
      <c r="L24" s="1026"/>
      <c r="M24" s="1027"/>
      <c r="N24" s="1014">
        <f t="shared" si="0"/>
      </c>
      <c r="O24" s="1015"/>
      <c r="P24" s="1015"/>
      <c r="Q24" s="1016"/>
      <c r="R24" s="1022"/>
      <c r="S24" s="1023"/>
      <c r="T24" s="1023"/>
      <c r="U24" s="1024"/>
      <c r="V24" s="1017"/>
      <c r="W24" s="1018"/>
      <c r="X24" s="1018"/>
      <c r="Y24" s="1017"/>
      <c r="Z24" s="1019"/>
      <c r="AA24" s="1020"/>
      <c r="AB24" s="1020"/>
      <c r="AC24" s="1021"/>
      <c r="AD24" s="1025"/>
      <c r="AE24" s="1026"/>
      <c r="AF24" s="1026"/>
      <c r="AG24" s="1027"/>
      <c r="AH24" s="1014">
        <f t="shared" si="1"/>
      </c>
      <c r="AI24" s="1015"/>
      <c r="AJ24" s="1015"/>
      <c r="AK24" s="1016"/>
      <c r="AL24" s="1022"/>
      <c r="AM24" s="1023"/>
      <c r="AN24" s="1023"/>
      <c r="AO24" s="1024"/>
      <c r="AP24" s="1031" t="s">
        <v>75</v>
      </c>
      <c r="AQ24" s="1032"/>
      <c r="AR24" s="1032"/>
      <c r="AS24" s="1032"/>
      <c r="AT24" s="1032"/>
      <c r="AU24" s="1032"/>
      <c r="AV24" s="1032"/>
      <c r="AW24" s="1033"/>
      <c r="AZ24" s="103">
        <f t="shared" si="2"/>
        <v>4</v>
      </c>
      <c r="BA24" s="99">
        <f t="shared" si="3"/>
        <v>4</v>
      </c>
      <c r="BB24" s="58" t="s">
        <v>276</v>
      </c>
      <c r="BD24" s="182" t="str">
        <f>BB15</f>
        <v>4 級 水 準 測 量</v>
      </c>
    </row>
    <row r="25" spans="1:56" ht="24" customHeight="1">
      <c r="A25" s="9"/>
      <c r="B25" s="1017"/>
      <c r="C25" s="1018"/>
      <c r="D25" s="1018"/>
      <c r="E25" s="1017"/>
      <c r="F25" s="1019"/>
      <c r="G25" s="1020"/>
      <c r="H25" s="1020"/>
      <c r="I25" s="1021"/>
      <c r="J25" s="1025"/>
      <c r="K25" s="1026"/>
      <c r="L25" s="1026"/>
      <c r="M25" s="1027"/>
      <c r="N25" s="1014">
        <f t="shared" si="0"/>
      </c>
      <c r="O25" s="1015"/>
      <c r="P25" s="1015"/>
      <c r="Q25" s="1016"/>
      <c r="R25" s="1022"/>
      <c r="S25" s="1023"/>
      <c r="T25" s="1023"/>
      <c r="U25" s="1024"/>
      <c r="V25" s="1017"/>
      <c r="W25" s="1018"/>
      <c r="X25" s="1018"/>
      <c r="Y25" s="1017"/>
      <c r="Z25" s="1019"/>
      <c r="AA25" s="1020"/>
      <c r="AB25" s="1020"/>
      <c r="AC25" s="1021"/>
      <c r="AD25" s="1025"/>
      <c r="AE25" s="1026"/>
      <c r="AF25" s="1026"/>
      <c r="AG25" s="1027"/>
      <c r="AH25" s="1014">
        <f t="shared" si="1"/>
      </c>
      <c r="AI25" s="1015"/>
      <c r="AJ25" s="1015"/>
      <c r="AK25" s="1016"/>
      <c r="AL25" s="1022"/>
      <c r="AM25" s="1023"/>
      <c r="AN25" s="1023"/>
      <c r="AO25" s="1024"/>
      <c r="AP25" s="1041">
        <v>0</v>
      </c>
      <c r="AQ25" s="1042"/>
      <c r="AR25" s="1042"/>
      <c r="AS25" s="1042"/>
      <c r="AT25" s="1042"/>
      <c r="AU25" s="1042"/>
      <c r="AV25" s="1042"/>
      <c r="AW25" s="1043"/>
      <c r="AZ25" s="102">
        <f t="shared" si="2"/>
        <v>4</v>
      </c>
      <c r="BA25" s="100">
        <f t="shared" si="3"/>
        <v>4</v>
      </c>
      <c r="BB25" s="53" t="s">
        <v>279</v>
      </c>
      <c r="BD25" s="52" t="str">
        <f>BB16</f>
        <v>仮 B M 設 置 測 量</v>
      </c>
    </row>
    <row r="26" ht="24" customHeight="1"/>
    <row r="27" ht="13.5"/>
    <row r="28" ht="17.25">
      <c r="B28" s="296" t="s">
        <v>0</v>
      </c>
    </row>
    <row r="29" spans="2:58" ht="17.25">
      <c r="B29" s="296" t="s">
        <v>18</v>
      </c>
      <c r="BE29" s="1"/>
      <c r="BF29" s="1"/>
    </row>
    <row r="30" spans="57:58" ht="13.5">
      <c r="BE30" s="1"/>
      <c r="BF30" s="1"/>
    </row>
    <row r="31" spans="57:58" ht="13.5">
      <c r="BE31" s="1"/>
      <c r="BF31" s="1"/>
    </row>
    <row r="32" spans="57:58" ht="13.5">
      <c r="BE32" s="1"/>
      <c r="BF32" s="1"/>
    </row>
    <row r="33" spans="57:58" ht="13.5">
      <c r="BE33" s="1"/>
      <c r="BF33" s="1"/>
    </row>
    <row r="34" spans="57:58" ht="13.5">
      <c r="BE34" s="1"/>
      <c r="BF34" s="1"/>
    </row>
    <row r="35" ht="13.5">
      <c r="BF35" s="1"/>
    </row>
    <row r="36" spans="57:58" ht="13.5">
      <c r="BE36" s="1"/>
      <c r="BF36" s="1"/>
    </row>
    <row r="37" spans="57:58" ht="12.75">
      <c r="BE37" s="1"/>
      <c r="BF37" s="1"/>
    </row>
    <row r="38" spans="57:58" ht="12.75">
      <c r="BE38" s="1"/>
      <c r="BF38" s="1"/>
    </row>
    <row r="39" spans="57:58" ht="12.75">
      <c r="BE39" s="1"/>
      <c r="BF39" s="1"/>
    </row>
    <row r="40" spans="57:58" ht="12.75">
      <c r="BE40" s="1"/>
      <c r="BF40" s="1"/>
    </row>
    <row r="41" spans="57:58" ht="12.75">
      <c r="BE41" s="1"/>
      <c r="BF41" s="1"/>
    </row>
    <row r="42" spans="57:58" ht="12.75">
      <c r="BE42" s="1"/>
      <c r="BF42" s="1"/>
    </row>
    <row r="43" ht="12.75">
      <c r="BE43" s="1"/>
    </row>
    <row r="44" ht="12.75">
      <c r="BE44" s="1"/>
    </row>
    <row r="45" ht="12.75">
      <c r="BE45" s="1"/>
    </row>
    <row r="46" spans="54:57" ht="12.75">
      <c r="BB46" s="60"/>
      <c r="BC46" s="60"/>
      <c r="BD46" s="60"/>
      <c r="BE46" s="1"/>
    </row>
    <row r="47" spans="54:57" ht="12.75">
      <c r="BB47" s="60"/>
      <c r="BC47" s="60"/>
      <c r="BD47" s="60"/>
      <c r="BE47" s="1"/>
    </row>
    <row r="48" spans="54:57" ht="12.75">
      <c r="BB48" s="60"/>
      <c r="BC48" s="60"/>
      <c r="BD48" s="60"/>
      <c r="BE48" s="1"/>
    </row>
    <row r="49" spans="54:57" ht="12.75">
      <c r="BB49" s="60"/>
      <c r="BC49" s="60"/>
      <c r="BD49" s="60"/>
      <c r="BE49" s="1"/>
    </row>
    <row r="50" spans="54:56" ht="12.75">
      <c r="BB50" s="60"/>
      <c r="BC50" s="60"/>
      <c r="BD50" s="60"/>
    </row>
    <row r="51" spans="54:56" ht="12.75">
      <c r="BB51" s="60"/>
      <c r="BC51" s="60"/>
      <c r="BD51" s="60"/>
    </row>
    <row r="52" spans="54:56" ht="12.75">
      <c r="BB52" s="60"/>
      <c r="BC52" s="60"/>
      <c r="BD52" s="60"/>
    </row>
    <row r="53" spans="54:56" ht="12.75">
      <c r="BB53" s="60"/>
      <c r="BC53" s="60"/>
      <c r="BD53" s="60"/>
    </row>
  </sheetData>
  <sheetProtection formatCells="0"/>
  <mergeCells count="202">
    <mergeCell ref="B7:AW7"/>
    <mergeCell ref="AL11:AO11"/>
    <mergeCell ref="AH11:AK11"/>
    <mergeCell ref="AD11:AG11"/>
    <mergeCell ref="V11:Y11"/>
    <mergeCell ref="B11:E11"/>
    <mergeCell ref="R11:U11"/>
    <mergeCell ref="B8:D8"/>
    <mergeCell ref="B9:D9"/>
    <mergeCell ref="F11:I11"/>
    <mergeCell ref="R23:U23"/>
    <mergeCell ref="R24:U24"/>
    <mergeCell ref="V17:Y17"/>
    <mergeCell ref="V13:Y13"/>
    <mergeCell ref="V14:Y14"/>
    <mergeCell ref="V15:Y15"/>
    <mergeCell ref="R20:U20"/>
    <mergeCell ref="R21:U21"/>
    <mergeCell ref="AP25:AW25"/>
    <mergeCell ref="R12:U12"/>
    <mergeCell ref="R13:U13"/>
    <mergeCell ref="R14:U14"/>
    <mergeCell ref="R15:U15"/>
    <mergeCell ref="R17:U17"/>
    <mergeCell ref="R18:U18"/>
    <mergeCell ref="AL23:AO23"/>
    <mergeCell ref="V24:Y24"/>
    <mergeCell ref="R22:U22"/>
    <mergeCell ref="AL22:AO22"/>
    <mergeCell ref="AP22:AW22"/>
    <mergeCell ref="AP24:AW24"/>
    <mergeCell ref="AL24:AO24"/>
    <mergeCell ref="AP23:AW23"/>
    <mergeCell ref="AP20:AW20"/>
    <mergeCell ref="AR18:AW18"/>
    <mergeCell ref="AP18:AQ18"/>
    <mergeCell ref="AL21:AO21"/>
    <mergeCell ref="AL25:AO25"/>
    <mergeCell ref="AP11:AW11"/>
    <mergeCell ref="AP12:AW12"/>
    <mergeCell ref="AP13:AW13"/>
    <mergeCell ref="AP14:AW14"/>
    <mergeCell ref="AL19:AO19"/>
    <mergeCell ref="AL16:AO16"/>
    <mergeCell ref="AP19:AW19"/>
    <mergeCell ref="AP21:AW21"/>
    <mergeCell ref="AL20:AO20"/>
    <mergeCell ref="AL17:AO17"/>
    <mergeCell ref="AL18:AO18"/>
    <mergeCell ref="AL12:AO12"/>
    <mergeCell ref="AL13:AO13"/>
    <mergeCell ref="AL14:AO14"/>
    <mergeCell ref="AL15:AO15"/>
    <mergeCell ref="AH22:AK22"/>
    <mergeCell ref="AH23:AK23"/>
    <mergeCell ref="AH17:AK17"/>
    <mergeCell ref="AH18:AK18"/>
    <mergeCell ref="AH19:AK19"/>
    <mergeCell ref="AH20:AK20"/>
    <mergeCell ref="AH21:AK21"/>
    <mergeCell ref="AH12:AK12"/>
    <mergeCell ref="AH13:AK13"/>
    <mergeCell ref="AH14:AK14"/>
    <mergeCell ref="AH15:AK15"/>
    <mergeCell ref="AD23:AG23"/>
    <mergeCell ref="V18:Y18"/>
    <mergeCell ref="V19:Y19"/>
    <mergeCell ref="V21:Y21"/>
    <mergeCell ref="V22:Y22"/>
    <mergeCell ref="V23:Y23"/>
    <mergeCell ref="V20:Y20"/>
    <mergeCell ref="Z20:AC20"/>
    <mergeCell ref="Z22:AC22"/>
    <mergeCell ref="F25:I25"/>
    <mergeCell ref="F24:I24"/>
    <mergeCell ref="AD12:AG12"/>
    <mergeCell ref="AD13:AG13"/>
    <mergeCell ref="AD14:AG14"/>
    <mergeCell ref="AD15:AG15"/>
    <mergeCell ref="AD17:AG17"/>
    <mergeCell ref="AD18:AG18"/>
    <mergeCell ref="AD19:AG19"/>
    <mergeCell ref="AD22:AG22"/>
    <mergeCell ref="N19:Q19"/>
    <mergeCell ref="J17:M17"/>
    <mergeCell ref="J18:M18"/>
    <mergeCell ref="J19:M19"/>
    <mergeCell ref="AH24:AK24"/>
    <mergeCell ref="N25:Q25"/>
    <mergeCell ref="J25:M25"/>
    <mergeCell ref="V25:Y25"/>
    <mergeCell ref="R25:U25"/>
    <mergeCell ref="Z25:AC25"/>
    <mergeCell ref="Z24:AC24"/>
    <mergeCell ref="AD25:AG25"/>
    <mergeCell ref="AH25:AK25"/>
    <mergeCell ref="N24:Q24"/>
    <mergeCell ref="B25:E25"/>
    <mergeCell ref="B21:E21"/>
    <mergeCell ref="B22:E22"/>
    <mergeCell ref="Z23:AC23"/>
    <mergeCell ref="N21:Q21"/>
    <mergeCell ref="N22:Q22"/>
    <mergeCell ref="N23:Q23"/>
    <mergeCell ref="J21:M21"/>
    <mergeCell ref="J22:M22"/>
    <mergeCell ref="J23:M23"/>
    <mergeCell ref="B23:E23"/>
    <mergeCell ref="B24:E24"/>
    <mergeCell ref="J20:M20"/>
    <mergeCell ref="AD24:AG24"/>
    <mergeCell ref="J24:M24"/>
    <mergeCell ref="F21:I21"/>
    <mergeCell ref="F22:I22"/>
    <mergeCell ref="F23:I23"/>
    <mergeCell ref="AD20:AG20"/>
    <mergeCell ref="AD21:AG21"/>
    <mergeCell ref="B17:E17"/>
    <mergeCell ref="B18:E18"/>
    <mergeCell ref="B19:E19"/>
    <mergeCell ref="F20:I20"/>
    <mergeCell ref="B20:E20"/>
    <mergeCell ref="F17:I17"/>
    <mergeCell ref="F18:I18"/>
    <mergeCell ref="F19:I19"/>
    <mergeCell ref="B16:E16"/>
    <mergeCell ref="Z16:AC16"/>
    <mergeCell ref="J16:M16"/>
    <mergeCell ref="F16:I16"/>
    <mergeCell ref="N16:Q16"/>
    <mergeCell ref="AH16:AK16"/>
    <mergeCell ref="R16:U16"/>
    <mergeCell ref="AD16:AG16"/>
    <mergeCell ref="V16:Y16"/>
    <mergeCell ref="B15:E15"/>
    <mergeCell ref="J15:M15"/>
    <mergeCell ref="F15:I15"/>
    <mergeCell ref="Z15:AC15"/>
    <mergeCell ref="N15:Q15"/>
    <mergeCell ref="B12:E12"/>
    <mergeCell ref="N12:Q12"/>
    <mergeCell ref="N13:Q13"/>
    <mergeCell ref="J12:M12"/>
    <mergeCell ref="J13:M13"/>
    <mergeCell ref="F12:I12"/>
    <mergeCell ref="B14:E14"/>
    <mergeCell ref="B13:E13"/>
    <mergeCell ref="J14:M14"/>
    <mergeCell ref="F13:I13"/>
    <mergeCell ref="F14:I14"/>
    <mergeCell ref="V12:Y12"/>
    <mergeCell ref="Z21:AC21"/>
    <mergeCell ref="R19:U19"/>
    <mergeCell ref="N20:Q20"/>
    <mergeCell ref="Z14:AC14"/>
    <mergeCell ref="Z12:AC12"/>
    <mergeCell ref="Z13:AC13"/>
    <mergeCell ref="Z17:AC17"/>
    <mergeCell ref="Z18:AC18"/>
    <mergeCell ref="Z19:AC19"/>
    <mergeCell ref="J11:M11"/>
    <mergeCell ref="N17:Q17"/>
    <mergeCell ref="N18:Q18"/>
    <mergeCell ref="N14:Q14"/>
    <mergeCell ref="P8:V8"/>
    <mergeCell ref="P9:V9"/>
    <mergeCell ref="Z11:AC11"/>
    <mergeCell ref="AF8:AH8"/>
    <mergeCell ref="AF9:AH9"/>
    <mergeCell ref="N11:Q11"/>
    <mergeCell ref="E8:L8"/>
    <mergeCell ref="E9:L9"/>
    <mergeCell ref="M8:O8"/>
    <mergeCell ref="M9:O9"/>
    <mergeCell ref="AR8:AV8"/>
    <mergeCell ref="W8:Y8"/>
    <mergeCell ref="W9:Y9"/>
    <mergeCell ref="Z8:AE8"/>
    <mergeCell ref="Z9:AE9"/>
    <mergeCell ref="AO8:AQ8"/>
    <mergeCell ref="AO9:AQ9"/>
    <mergeCell ref="AI8:AN8"/>
    <mergeCell ref="B1:AW1"/>
    <mergeCell ref="U5:X5"/>
    <mergeCell ref="Y5:AK5"/>
    <mergeCell ref="F5:T5"/>
    <mergeCell ref="B5:E5"/>
    <mergeCell ref="B3:AW3"/>
    <mergeCell ref="AL4:AW6"/>
    <mergeCell ref="B4:AK4"/>
    <mergeCell ref="B6:AK6"/>
    <mergeCell ref="B2:E2"/>
    <mergeCell ref="F2:AW2"/>
    <mergeCell ref="AP15:AQ15"/>
    <mergeCell ref="AP16:AQ16"/>
    <mergeCell ref="AP17:AQ17"/>
    <mergeCell ref="AR15:AW15"/>
    <mergeCell ref="AR16:AW16"/>
    <mergeCell ref="AR17:AW17"/>
    <mergeCell ref="AR9:AW9"/>
    <mergeCell ref="B10:AW10"/>
    <mergeCell ref="AI9:AM9"/>
  </mergeCells>
  <conditionalFormatting sqref="AH12:AH25">
    <cfRule type="cellIs" priority="1" dxfId="4" operator="equal" stopIfTrue="1">
      <formula>IF(BA12&lt;&gt;1,INDEX($BB$21:$BB$25,BA12,1))</formula>
    </cfRule>
  </conditionalFormatting>
  <conditionalFormatting sqref="N12:Q25">
    <cfRule type="cellIs" priority="2" dxfId="4" operator="equal" stopIfTrue="1">
      <formula>IF(AZ12&lt;&gt;0,INDEX($BB$21:$BB$25,AZ12,1))</formula>
    </cfRule>
  </conditionalFormatting>
  <conditionalFormatting sqref="R12:U25 AL12:AO25">
    <cfRule type="cellIs" priority="3" dxfId="10" operator="notEqual" stopIfTrue="1">
      <formula>IF(R12&lt;&gt;"",IF(LEN(R12)&lt;30,$BD$18,IF(LEN(R12)&gt;30,$BD$17,$BD$20)))</formula>
    </cfRule>
    <cfRule type="expression" priority="4" dxfId="1" stopIfTrue="1">
      <formula>AND(B12&lt;&gt;"",F12&lt;&gt;"",R12="")</formula>
    </cfRule>
  </conditionalFormatting>
  <conditionalFormatting sqref="BB11">
    <cfRule type="cellIs" priority="5" dxfId="2" operator="equal" stopIfTrue="1">
      <formula>0</formula>
    </cfRule>
  </conditionalFormatting>
  <conditionalFormatting sqref="AI12:AK25">
    <cfRule type="cellIs" priority="6" dxfId="4" operator="equal" stopIfTrue="1">
      <formula>IF(#REF!&lt;&gt;1,INDEX($BB$21:$BB$25,#REF!,1))</formula>
    </cfRule>
  </conditionalFormatting>
  <conditionalFormatting sqref="F5">
    <cfRule type="cellIs" priority="7" dxfId="9" operator="equal" stopIfTrue="1">
      <formula>$BB$11</formula>
    </cfRule>
  </conditionalFormatting>
  <conditionalFormatting sqref="Y5:AK5">
    <cfRule type="expression" priority="8" dxfId="11" stopIfTrue="1">
      <formula>$BD$19&lt;5</formula>
    </cfRule>
    <cfRule type="cellIs" priority="9" dxfId="12" operator="equal" stopIfTrue="1">
      <formula>$BB$18</formula>
    </cfRule>
  </conditionalFormatting>
  <conditionalFormatting sqref="U5:X5">
    <cfRule type="expression" priority="10" dxfId="11" stopIfTrue="1">
      <formula>$BD$19&lt;5</formula>
    </cfRule>
  </conditionalFormatting>
  <conditionalFormatting sqref="J12:M25 AD12:AG25">
    <cfRule type="expression" priority="11" dxfId="4" stopIfTrue="1">
      <formula>ABS(J12)&gt;N12*1</formula>
    </cfRule>
  </conditionalFormatting>
  <dataValidations count="4">
    <dataValidation type="list" allowBlank="1" showInputMessage="1" showErrorMessage="1" sqref="AL12:AO25">
      <formula1>IF(OR(V12="",$BD$19=0),$BC$21:$BC$23,$BD$16:$BD$18)</formula1>
    </dataValidation>
    <dataValidation type="list" allowBlank="1" showInputMessage="1" showErrorMessage="1" sqref="Y5">
      <formula1>IF($BD$19=5,$BB$18:$BB$20,"")</formula1>
    </dataValidation>
    <dataValidation type="list" allowBlank="1" showInputMessage="1" showErrorMessage="1" sqref="F5:T5">
      <formula1>$BD$22:$BD$25</formula1>
    </dataValidation>
    <dataValidation type="list" allowBlank="1" showInputMessage="1" showErrorMessage="1" sqref="R12:U25">
      <formula1>IF(OR(B12="",$BD$19=0),$BC$21:$BC$23,$BD$16:$BD$18)</formula1>
    </dataValidation>
  </dataValidations>
  <hyperlinks>
    <hyperlink ref="B2:E2" location="業務情報!A1" tooltip="業務情報シートに移動" display="業務情報"/>
  </hyperlinks>
  <printOptions horizontalCentered="1" verticalCentered="1"/>
  <pageMargins left="0.7874015748031497" right="0.7874015748031497" top="0.984251968503937" bottom="0.7874015748031497" header="0.5118110236220472" footer="0.5118110236220472"/>
  <pageSetup blackAndWhite="1" errors="blank" fitToHeight="1" fitToWidth="1" horizontalDpi="600" verticalDpi="600" orientation="landscape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AV32"/>
  <sheetViews>
    <sheetView showGridLines="0" showRowColHeaders="0" workbookViewId="0" topLeftCell="A1">
      <selection activeCell="A1" sqref="A1"/>
    </sheetView>
  </sheetViews>
  <sheetFormatPr defaultColWidth="8.625" defaultRowHeight="13.5"/>
  <cols>
    <col min="1" max="1" width="5.00390625" style="12" customWidth="1"/>
    <col min="2" max="33" width="2.75390625" style="12" customWidth="1"/>
    <col min="34" max="34" width="8.00390625" style="0" customWidth="1"/>
    <col min="35" max="36" width="7.50390625" style="0" customWidth="1"/>
    <col min="37" max="38" width="21.875" style="164" hidden="1" customWidth="1"/>
    <col min="39" max="39" width="5.625" style="164" hidden="1" customWidth="1"/>
    <col min="40" max="40" width="21.875" style="164" hidden="1" customWidth="1"/>
    <col min="41" max="41" width="24.875" style="164" hidden="1" customWidth="1"/>
    <col min="42" max="43" width="11.125" style="164" customWidth="1"/>
    <col min="44" max="44" width="10.00390625" style="12" customWidth="1"/>
    <col min="45" max="45" width="7.125" style="12" customWidth="1"/>
    <col min="46" max="46" width="8.375" style="12" customWidth="1"/>
    <col min="47" max="48" width="3.25390625" style="12" customWidth="1"/>
    <col min="49" max="49" width="3.375" style="12" customWidth="1"/>
    <col min="50" max="63" width="3.25390625" style="12" customWidth="1"/>
    <col min="64" max="16384" width="8.625" style="12" customWidth="1"/>
  </cols>
  <sheetData>
    <row r="1" spans="2:33" ht="15" customHeight="1"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</row>
    <row r="2" spans="2:33" ht="24" customHeight="1">
      <c r="B2" s="607" t="s">
        <v>388</v>
      </c>
      <c r="C2" s="607"/>
      <c r="D2" s="607"/>
      <c r="E2" s="607"/>
      <c r="F2" s="608" t="s">
        <v>409</v>
      </c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</row>
    <row r="3" spans="2:33" ht="21" customHeight="1">
      <c r="B3" s="605" t="s">
        <v>44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</row>
    <row r="4" spans="2:48" ht="21" customHeight="1">
      <c r="B4" s="1096" t="s">
        <v>489</v>
      </c>
      <c r="C4" s="1097"/>
      <c r="D4" s="1097"/>
      <c r="E4" s="1097"/>
      <c r="F4" s="1097"/>
      <c r="G4" s="1097"/>
      <c r="H4" s="1097"/>
      <c r="I4" s="1097"/>
      <c r="J4" s="1097"/>
      <c r="K4" s="1097"/>
      <c r="L4" s="1097"/>
      <c r="M4" s="1097"/>
      <c r="N4" s="1097"/>
      <c r="O4" s="1097"/>
      <c r="P4" s="1097"/>
      <c r="Q4" s="1097"/>
      <c r="R4" s="1097"/>
      <c r="S4" s="1097"/>
      <c r="T4" s="1097"/>
      <c r="U4" s="1097"/>
      <c r="V4" s="1097"/>
      <c r="W4" s="1097"/>
      <c r="X4" s="1097"/>
      <c r="Y4" s="1097"/>
      <c r="Z4" s="1097"/>
      <c r="AA4" s="1097"/>
      <c r="AB4" s="1097"/>
      <c r="AC4" s="1097"/>
      <c r="AD4" s="1097"/>
      <c r="AE4" s="1097"/>
      <c r="AF4" s="1097"/>
      <c r="AG4" s="1097"/>
      <c r="AR4"/>
      <c r="AS4"/>
      <c r="AT4"/>
      <c r="AU4"/>
      <c r="AV4"/>
    </row>
    <row r="5" spans="1:48" ht="30" customHeight="1">
      <c r="A5" s="5"/>
      <c r="B5" s="1099" t="s">
        <v>102</v>
      </c>
      <c r="C5" s="1099"/>
      <c r="D5" s="1099"/>
      <c r="E5" s="1099"/>
      <c r="F5" s="1099"/>
      <c r="G5" s="1099"/>
      <c r="H5" s="1099"/>
      <c r="I5" s="1099"/>
      <c r="J5" s="1099"/>
      <c r="K5" s="1099"/>
      <c r="L5" s="1099"/>
      <c r="M5" s="1099"/>
      <c r="N5" s="1099"/>
      <c r="O5" s="1099"/>
      <c r="P5" s="1099"/>
      <c r="Q5" s="1099"/>
      <c r="R5" s="1099"/>
      <c r="S5" s="1099"/>
      <c r="T5" s="1099"/>
      <c r="U5" s="1099"/>
      <c r="V5" s="1099"/>
      <c r="W5" s="1099"/>
      <c r="X5" s="1099"/>
      <c r="Y5" s="1099"/>
      <c r="Z5" s="1099"/>
      <c r="AA5" s="1099"/>
      <c r="AB5" s="1099"/>
      <c r="AC5" s="1099"/>
      <c r="AD5" s="1099"/>
      <c r="AE5" s="1099"/>
      <c r="AF5" s="1099"/>
      <c r="AG5" s="1099"/>
      <c r="AR5"/>
      <c r="AS5"/>
      <c r="AT5"/>
      <c r="AU5"/>
      <c r="AV5"/>
    </row>
    <row r="6" spans="2:41" ht="36" customHeight="1">
      <c r="B6" s="1101" t="s">
        <v>103</v>
      </c>
      <c r="C6" s="1102"/>
      <c r="D6" s="1102"/>
      <c r="E6" s="1102"/>
      <c r="F6" s="1102"/>
      <c r="G6" s="1102"/>
      <c r="H6" s="1103"/>
      <c r="I6" s="1086" t="s">
        <v>104</v>
      </c>
      <c r="J6" s="1087"/>
      <c r="K6" s="1087"/>
      <c r="L6" s="1087"/>
      <c r="M6" s="1088"/>
      <c r="N6" s="1086" t="s">
        <v>47</v>
      </c>
      <c r="O6" s="1087"/>
      <c r="P6" s="1087"/>
      <c r="Q6" s="1087"/>
      <c r="R6" s="1087"/>
      <c r="S6" s="1087"/>
      <c r="T6" s="1087"/>
      <c r="U6" s="1088"/>
      <c r="V6" s="1086" t="s">
        <v>78</v>
      </c>
      <c r="W6" s="1087"/>
      <c r="X6" s="1087"/>
      <c r="Y6" s="1087"/>
      <c r="Z6" s="1087"/>
      <c r="AA6" s="1088"/>
      <c r="AB6" s="1086" t="s">
        <v>34</v>
      </c>
      <c r="AC6" s="1087"/>
      <c r="AD6" s="1087"/>
      <c r="AE6" s="1087"/>
      <c r="AF6" s="1087"/>
      <c r="AG6" s="1088"/>
      <c r="AK6" s="118"/>
      <c r="AL6" s="165">
        <v>40</v>
      </c>
      <c r="AM6" s="202"/>
      <c r="AO6" s="183"/>
    </row>
    <row r="7" spans="2:41" ht="30" customHeight="1">
      <c r="B7" s="503" t="str">
        <f>IF($BK$12=1,"",IF('業務情報'!$C$3="","",'業務情報'!$C$3))</f>
        <v>平成２６年度
○○測量業務</v>
      </c>
      <c r="C7" s="504"/>
      <c r="D7" s="504"/>
      <c r="E7" s="504"/>
      <c r="F7" s="504"/>
      <c r="G7" s="504"/>
      <c r="H7" s="505"/>
      <c r="I7" s="467" t="s">
        <v>415</v>
      </c>
      <c r="J7" s="468"/>
      <c r="K7" s="468"/>
      <c r="L7" s="468"/>
      <c r="M7" s="469"/>
      <c r="N7" s="500" t="str">
        <f>IF($BJ$12=1,"",IF('業務情報'!$E$4="","",IF('業務情報'!$E$4="","",'業務情報'!$E$4)))</f>
        <v>（有）サーベイテック</v>
      </c>
      <c r="O7" s="501"/>
      <c r="P7" s="501"/>
      <c r="Q7" s="501"/>
      <c r="R7" s="501"/>
      <c r="S7" s="501"/>
      <c r="T7" s="501"/>
      <c r="U7" s="502"/>
      <c r="V7" s="1100" t="str">
        <f>IF($BJ$12=1,"",IF('業務情報'!$G$3="","",'業務情報'!$G$3))</f>
        <v>兎位瑠度　逓津宇</v>
      </c>
      <c r="W7" s="1100"/>
      <c r="X7" s="1100"/>
      <c r="Y7" s="1100"/>
      <c r="Z7" s="500"/>
      <c r="AA7" s="42" t="s">
        <v>125</v>
      </c>
      <c r="AB7" s="500" t="str">
        <f>IF($BJ$12=1,"",IF('業務情報'!$G$4="","",'業務情報'!$G$4))</f>
        <v>曽木亜　説戸</v>
      </c>
      <c r="AC7" s="501"/>
      <c r="AD7" s="501"/>
      <c r="AE7" s="501"/>
      <c r="AF7" s="501"/>
      <c r="AG7" s="42" t="s">
        <v>125</v>
      </c>
      <c r="AK7" s="119" t="s">
        <v>85</v>
      </c>
      <c r="AL7" s="166">
        <v>50</v>
      </c>
      <c r="AM7" s="202"/>
      <c r="AO7" s="183"/>
    </row>
    <row r="8" spans="2:41" ht="36" customHeight="1">
      <c r="B8" s="1064" t="s">
        <v>71</v>
      </c>
      <c r="C8" s="1064"/>
      <c r="D8" s="1064"/>
      <c r="E8" s="1064"/>
      <c r="F8" s="1049" t="s">
        <v>72</v>
      </c>
      <c r="G8" s="1049"/>
      <c r="H8" s="1049"/>
      <c r="I8" s="1049"/>
      <c r="J8" s="1064" t="s">
        <v>105</v>
      </c>
      <c r="K8" s="1064"/>
      <c r="L8" s="1064"/>
      <c r="M8" s="1064"/>
      <c r="N8" s="1048" t="s">
        <v>106</v>
      </c>
      <c r="O8" s="1048"/>
      <c r="P8" s="1048"/>
      <c r="Q8" s="1090"/>
      <c r="R8" s="1088" t="s">
        <v>71</v>
      </c>
      <c r="S8" s="1064"/>
      <c r="T8" s="1064"/>
      <c r="U8" s="1064"/>
      <c r="V8" s="1049" t="s">
        <v>72</v>
      </c>
      <c r="W8" s="1049"/>
      <c r="X8" s="1049"/>
      <c r="Y8" s="1049"/>
      <c r="Z8" s="1064" t="s">
        <v>105</v>
      </c>
      <c r="AA8" s="1064"/>
      <c r="AB8" s="1064"/>
      <c r="AC8" s="1064"/>
      <c r="AD8" s="1048" t="s">
        <v>107</v>
      </c>
      <c r="AE8" s="1048"/>
      <c r="AF8" s="1048"/>
      <c r="AG8" s="1048"/>
      <c r="AK8" s="120" t="s">
        <v>87</v>
      </c>
      <c r="AL8" s="167"/>
      <c r="AM8" s="111"/>
      <c r="AO8" s="183"/>
    </row>
    <row r="9" spans="1:42" ht="15" customHeight="1">
      <c r="A9" s="64"/>
      <c r="B9" s="1098"/>
      <c r="C9" s="361"/>
      <c r="D9" s="361"/>
      <c r="E9" s="1091"/>
      <c r="F9" s="1066" t="s">
        <v>308</v>
      </c>
      <c r="G9" s="1066"/>
      <c r="H9" s="1066"/>
      <c r="I9" s="1066"/>
      <c r="J9" s="1065" t="s">
        <v>309</v>
      </c>
      <c r="K9" s="1066"/>
      <c r="L9" s="1066"/>
      <c r="M9" s="1067"/>
      <c r="N9" s="1065" t="s">
        <v>309</v>
      </c>
      <c r="O9" s="1066"/>
      <c r="P9" s="1066"/>
      <c r="Q9" s="1092"/>
      <c r="R9" s="361"/>
      <c r="S9" s="361"/>
      <c r="T9" s="361"/>
      <c r="U9" s="1091"/>
      <c r="V9" s="1065" t="s">
        <v>308</v>
      </c>
      <c r="W9" s="1066"/>
      <c r="X9" s="1066"/>
      <c r="Y9" s="1067"/>
      <c r="Z9" s="1066" t="s">
        <v>309</v>
      </c>
      <c r="AA9" s="1066"/>
      <c r="AB9" s="1066"/>
      <c r="AC9" s="1066"/>
      <c r="AD9" s="1065" t="s">
        <v>309</v>
      </c>
      <c r="AE9" s="1066"/>
      <c r="AF9" s="1066"/>
      <c r="AG9" s="1067"/>
      <c r="AK9" s="186"/>
      <c r="AL9" s="187"/>
      <c r="AM9" s="111"/>
      <c r="AO9" s="183"/>
      <c r="AP9" s="183"/>
    </row>
    <row r="10" spans="1:44" ht="25.5" customHeight="1">
      <c r="A10" s="5"/>
      <c r="B10" s="1061">
        <v>1</v>
      </c>
      <c r="C10" s="1062"/>
      <c r="D10" s="1062"/>
      <c r="E10" s="1063"/>
      <c r="F10" s="1059">
        <v>0.1</v>
      </c>
      <c r="G10" s="1059"/>
      <c r="H10" s="1059"/>
      <c r="I10" s="1060"/>
      <c r="J10" s="1050">
        <v>20</v>
      </c>
      <c r="K10" s="1051"/>
      <c r="L10" s="1051"/>
      <c r="M10" s="1052"/>
      <c r="N10" s="1053" t="s">
        <v>35</v>
      </c>
      <c r="O10" s="1054"/>
      <c r="P10" s="1054"/>
      <c r="Q10" s="1089"/>
      <c r="R10" s="1061"/>
      <c r="S10" s="1062"/>
      <c r="T10" s="1062"/>
      <c r="U10" s="1063"/>
      <c r="V10" s="1059"/>
      <c r="W10" s="1059"/>
      <c r="X10" s="1059"/>
      <c r="Y10" s="1060"/>
      <c r="Z10" s="1056"/>
      <c r="AA10" s="1057"/>
      <c r="AB10" s="1057"/>
      <c r="AC10" s="1058"/>
      <c r="AD10" s="1053"/>
      <c r="AE10" s="1054"/>
      <c r="AF10" s="1054"/>
      <c r="AG10" s="1055"/>
      <c r="AJ10" s="306"/>
      <c r="AK10" s="203" t="str">
        <f>$AK$7&amp;"                    "&amp;ROUNDDOWN($AL$6*(F10^0.5),0)&amp;"       "</f>
        <v>環閉合                    12       </v>
      </c>
      <c r="AL10" s="169" t="str">
        <f>$AK$8&amp;"              "&amp;ROUNDDOWN($AL$7*(F10^0.5),0)&amp;"       "</f>
        <v>既知点結合              15       </v>
      </c>
      <c r="AM10" s="203"/>
      <c r="AN10" s="168" t="str">
        <f>$AK$7&amp;"                    "&amp;ROUNDDOWN($AL$6*(V10^0.5),0)&amp;"       "</f>
        <v>環閉合                    0       </v>
      </c>
      <c r="AO10" s="203" t="str">
        <f>$AK$8&amp;"              "&amp;ROUNDDOWN($AL$7*(V10^0.5),0)&amp;"       "</f>
        <v>既知点結合              0       </v>
      </c>
      <c r="AP10" s="183"/>
      <c r="AR10"/>
    </row>
    <row r="11" spans="1:44" ht="30" customHeight="1">
      <c r="A11" s="5"/>
      <c r="B11" s="1076">
        <v>2</v>
      </c>
      <c r="C11" s="1077"/>
      <c r="D11" s="1077"/>
      <c r="E11" s="1078"/>
      <c r="F11" s="1075">
        <v>1</v>
      </c>
      <c r="G11" s="1069"/>
      <c r="H11" s="1069"/>
      <c r="I11" s="1069"/>
      <c r="J11" s="1082">
        <v>3</v>
      </c>
      <c r="K11" s="1082"/>
      <c r="L11" s="1082"/>
      <c r="M11" s="1082"/>
      <c r="N11" s="1070" t="s">
        <v>28</v>
      </c>
      <c r="O11" s="1071"/>
      <c r="P11" s="1071"/>
      <c r="Q11" s="1072"/>
      <c r="R11" s="1076"/>
      <c r="S11" s="1077"/>
      <c r="T11" s="1077"/>
      <c r="U11" s="1078"/>
      <c r="V11" s="1075"/>
      <c r="W11" s="1069"/>
      <c r="X11" s="1069"/>
      <c r="Y11" s="1069"/>
      <c r="Z11" s="1073"/>
      <c r="AA11" s="1073"/>
      <c r="AB11" s="1073"/>
      <c r="AC11" s="1073"/>
      <c r="AD11" s="1068"/>
      <c r="AE11" s="1068"/>
      <c r="AF11" s="1068"/>
      <c r="AG11" s="1068"/>
      <c r="AJ11" s="1"/>
      <c r="AK11" s="203" t="str">
        <f>$AK$7&amp;"                    "&amp;ROUNDDOWN($AL$6*(F11^0.5),0)&amp;"       "</f>
        <v>環閉合                    40       </v>
      </c>
      <c r="AL11" s="169" t="str">
        <f>$AK$8&amp;"              "&amp;ROUNDDOWN($AL$7*(F11^0.5),0)&amp;"       "</f>
        <v>既知点結合              50       </v>
      </c>
      <c r="AM11" s="203"/>
      <c r="AN11" s="168" t="str">
        <f aca="true" t="shared" si="0" ref="AN11:AN28">$AK$7&amp;"                    "&amp;ROUNDDOWN($AL$6*(V11^0.5),0)&amp;"       "</f>
        <v>環閉合                    0       </v>
      </c>
      <c r="AO11" s="203" t="str">
        <f aca="true" t="shared" si="1" ref="AO11:AO28">$AK$8&amp;"              "&amp;ROUNDDOWN($AL$7*(V11^0.5),0)&amp;"       "</f>
        <v>既知点結合              0       </v>
      </c>
      <c r="AP11" s="183"/>
      <c r="AR11"/>
    </row>
    <row r="12" spans="2:44" ht="30" customHeight="1">
      <c r="B12" s="1079"/>
      <c r="C12" s="1080"/>
      <c r="D12" s="1080"/>
      <c r="E12" s="1081"/>
      <c r="F12" s="1075"/>
      <c r="G12" s="1069"/>
      <c r="H12" s="1069"/>
      <c r="I12" s="1069"/>
      <c r="J12" s="1082"/>
      <c r="K12" s="1082"/>
      <c r="L12" s="1082"/>
      <c r="M12" s="1082"/>
      <c r="N12" s="1070"/>
      <c r="O12" s="1071"/>
      <c r="P12" s="1071"/>
      <c r="Q12" s="1072"/>
      <c r="R12" s="1079"/>
      <c r="S12" s="1080"/>
      <c r="T12" s="1080"/>
      <c r="U12" s="1081"/>
      <c r="V12" s="1075"/>
      <c r="W12" s="1069"/>
      <c r="X12" s="1069"/>
      <c r="Y12" s="1069"/>
      <c r="Z12" s="1073"/>
      <c r="AA12" s="1073"/>
      <c r="AB12" s="1073"/>
      <c r="AC12" s="1073"/>
      <c r="AD12" s="1068"/>
      <c r="AE12" s="1068"/>
      <c r="AF12" s="1068"/>
      <c r="AG12" s="1068"/>
      <c r="AJ12" s="1"/>
      <c r="AK12" s="203" t="str">
        <f>$AK$7&amp;"                    "&amp;ROUNDDOWN($AL$6*(F12^0.5),0)&amp;"       "</f>
        <v>環閉合                    0       </v>
      </c>
      <c r="AL12" s="169" t="str">
        <f>$AK$8&amp;"              "&amp;ROUNDDOWN($AL$7*(F12^0.5),0)&amp;"       "</f>
        <v>既知点結合              0       </v>
      </c>
      <c r="AM12" s="203"/>
      <c r="AN12" s="168" t="str">
        <f t="shared" si="0"/>
        <v>環閉合                    0       </v>
      </c>
      <c r="AO12" s="203" t="str">
        <f t="shared" si="1"/>
        <v>既知点結合              0       </v>
      </c>
      <c r="AP12" s="183"/>
      <c r="AR12"/>
    </row>
    <row r="13" spans="2:44" ht="30" customHeight="1">
      <c r="B13" s="1074"/>
      <c r="C13" s="1074"/>
      <c r="D13" s="1074"/>
      <c r="E13" s="1074"/>
      <c r="F13" s="1069"/>
      <c r="G13" s="1069"/>
      <c r="H13" s="1069"/>
      <c r="I13" s="1069"/>
      <c r="J13" s="1082"/>
      <c r="K13" s="1082"/>
      <c r="L13" s="1082"/>
      <c r="M13" s="1082"/>
      <c r="N13" s="1083"/>
      <c r="O13" s="1084"/>
      <c r="P13" s="1084"/>
      <c r="Q13" s="1085"/>
      <c r="R13" s="1074"/>
      <c r="S13" s="1074"/>
      <c r="T13" s="1074"/>
      <c r="U13" s="1074"/>
      <c r="V13" s="1075"/>
      <c r="W13" s="1069"/>
      <c r="X13" s="1069"/>
      <c r="Y13" s="1069"/>
      <c r="Z13" s="1073"/>
      <c r="AA13" s="1073"/>
      <c r="AB13" s="1073"/>
      <c r="AC13" s="1073"/>
      <c r="AD13" s="1068"/>
      <c r="AE13" s="1068"/>
      <c r="AF13" s="1068"/>
      <c r="AG13" s="1068"/>
      <c r="AJ13" s="1"/>
      <c r="AK13" s="203" t="str">
        <f aca="true" t="shared" si="2" ref="AK13:AK27">$AK$7&amp;"                    "&amp;ROUNDDOWN($AL$6*(F13^0.5),0)&amp;"       "</f>
        <v>環閉合                    0       </v>
      </c>
      <c r="AL13" s="169" t="str">
        <f aca="true" t="shared" si="3" ref="AL13:AL27">$AK$8&amp;"              "&amp;ROUNDDOWN($AL$7*(F13^0.5),0)&amp;"       "</f>
        <v>既知点結合              0       </v>
      </c>
      <c r="AM13" s="203"/>
      <c r="AN13" s="168" t="str">
        <f t="shared" si="0"/>
        <v>環閉合                    0       </v>
      </c>
      <c r="AO13" s="203" t="str">
        <f t="shared" si="1"/>
        <v>既知点結合              0       </v>
      </c>
      <c r="AP13" s="183"/>
      <c r="AR13"/>
    </row>
    <row r="14" spans="2:44" ht="30" customHeight="1">
      <c r="B14" s="1074"/>
      <c r="C14" s="1074"/>
      <c r="D14" s="1074"/>
      <c r="E14" s="1074"/>
      <c r="F14" s="1069"/>
      <c r="G14" s="1069"/>
      <c r="H14" s="1069"/>
      <c r="I14" s="1069"/>
      <c r="J14" s="1082"/>
      <c r="K14" s="1082"/>
      <c r="L14" s="1082"/>
      <c r="M14" s="1082"/>
      <c r="N14" s="1070"/>
      <c r="O14" s="1071"/>
      <c r="P14" s="1071"/>
      <c r="Q14" s="1072"/>
      <c r="R14" s="1074"/>
      <c r="S14" s="1074"/>
      <c r="T14" s="1074"/>
      <c r="U14" s="1074"/>
      <c r="V14" s="1069"/>
      <c r="W14" s="1069"/>
      <c r="X14" s="1069"/>
      <c r="Y14" s="1069"/>
      <c r="Z14" s="1073"/>
      <c r="AA14" s="1073"/>
      <c r="AB14" s="1073"/>
      <c r="AC14" s="1073"/>
      <c r="AD14" s="1068"/>
      <c r="AE14" s="1068"/>
      <c r="AF14" s="1068"/>
      <c r="AG14" s="1068"/>
      <c r="AJ14" s="1"/>
      <c r="AK14" s="203" t="str">
        <f t="shared" si="2"/>
        <v>環閉合                    0       </v>
      </c>
      <c r="AL14" s="169" t="str">
        <f t="shared" si="3"/>
        <v>既知点結合              0       </v>
      </c>
      <c r="AM14" s="203"/>
      <c r="AN14" s="168" t="str">
        <f t="shared" si="0"/>
        <v>環閉合                    0       </v>
      </c>
      <c r="AO14" s="203" t="str">
        <f t="shared" si="1"/>
        <v>既知点結合              0       </v>
      </c>
      <c r="AP14" s="183"/>
      <c r="AR14"/>
    </row>
    <row r="15" spans="2:44" ht="30" customHeight="1">
      <c r="B15" s="1074"/>
      <c r="C15" s="1074"/>
      <c r="D15" s="1074"/>
      <c r="E15" s="1074"/>
      <c r="F15" s="1069"/>
      <c r="G15" s="1069"/>
      <c r="H15" s="1069"/>
      <c r="I15" s="1069"/>
      <c r="J15" s="1082"/>
      <c r="K15" s="1082"/>
      <c r="L15" s="1082"/>
      <c r="M15" s="1082"/>
      <c r="N15" s="1070"/>
      <c r="O15" s="1071"/>
      <c r="P15" s="1071"/>
      <c r="Q15" s="1072"/>
      <c r="R15" s="1074"/>
      <c r="S15" s="1074"/>
      <c r="T15" s="1074"/>
      <c r="U15" s="1074"/>
      <c r="V15" s="1069"/>
      <c r="W15" s="1069"/>
      <c r="X15" s="1069"/>
      <c r="Y15" s="1069"/>
      <c r="Z15" s="1073"/>
      <c r="AA15" s="1073"/>
      <c r="AB15" s="1073"/>
      <c r="AC15" s="1073"/>
      <c r="AD15" s="1068"/>
      <c r="AE15" s="1068"/>
      <c r="AF15" s="1068"/>
      <c r="AG15" s="1068"/>
      <c r="AJ15" s="1"/>
      <c r="AK15" s="203" t="str">
        <f t="shared" si="2"/>
        <v>環閉合                    0       </v>
      </c>
      <c r="AL15" s="169" t="str">
        <f t="shared" si="3"/>
        <v>既知点結合              0       </v>
      </c>
      <c r="AM15" s="203"/>
      <c r="AN15" s="168" t="str">
        <f t="shared" si="0"/>
        <v>環閉合                    0       </v>
      </c>
      <c r="AO15" s="203" t="str">
        <f t="shared" si="1"/>
        <v>既知点結合              0       </v>
      </c>
      <c r="AP15" s="183"/>
      <c r="AR15"/>
    </row>
    <row r="16" spans="2:44" ht="30" customHeight="1">
      <c r="B16" s="1074"/>
      <c r="C16" s="1074"/>
      <c r="D16" s="1074"/>
      <c r="E16" s="1074"/>
      <c r="F16" s="1069"/>
      <c r="G16" s="1069"/>
      <c r="H16" s="1069"/>
      <c r="I16" s="1069"/>
      <c r="J16" s="1082"/>
      <c r="K16" s="1082"/>
      <c r="L16" s="1082"/>
      <c r="M16" s="1082"/>
      <c r="N16" s="1070"/>
      <c r="O16" s="1071"/>
      <c r="P16" s="1071"/>
      <c r="Q16" s="1072"/>
      <c r="R16" s="1074"/>
      <c r="S16" s="1074"/>
      <c r="T16" s="1074"/>
      <c r="U16" s="1074"/>
      <c r="V16" s="1069"/>
      <c r="W16" s="1069"/>
      <c r="X16" s="1069"/>
      <c r="Y16" s="1069"/>
      <c r="Z16" s="1073"/>
      <c r="AA16" s="1073"/>
      <c r="AB16" s="1073"/>
      <c r="AC16" s="1073"/>
      <c r="AD16" s="1068"/>
      <c r="AE16" s="1068"/>
      <c r="AF16" s="1068"/>
      <c r="AG16" s="1068"/>
      <c r="AJ16" s="1"/>
      <c r="AK16" s="203" t="str">
        <f t="shared" si="2"/>
        <v>環閉合                    0       </v>
      </c>
      <c r="AL16" s="169" t="str">
        <f t="shared" si="3"/>
        <v>既知点結合              0       </v>
      </c>
      <c r="AM16" s="203"/>
      <c r="AN16" s="168" t="str">
        <f t="shared" si="0"/>
        <v>環閉合                    0       </v>
      </c>
      <c r="AO16" s="203" t="str">
        <f t="shared" si="1"/>
        <v>既知点結合              0       </v>
      </c>
      <c r="AP16" s="183"/>
      <c r="AR16"/>
    </row>
    <row r="17" spans="2:44" ht="30" customHeight="1">
      <c r="B17" s="1074"/>
      <c r="C17" s="1074"/>
      <c r="D17" s="1074"/>
      <c r="E17" s="1074"/>
      <c r="F17" s="1069"/>
      <c r="G17" s="1069"/>
      <c r="H17" s="1069"/>
      <c r="I17" s="1069"/>
      <c r="J17" s="1082"/>
      <c r="K17" s="1082"/>
      <c r="L17" s="1082"/>
      <c r="M17" s="1082"/>
      <c r="N17" s="1070"/>
      <c r="O17" s="1071"/>
      <c r="P17" s="1071"/>
      <c r="Q17" s="1072"/>
      <c r="R17" s="1074"/>
      <c r="S17" s="1074"/>
      <c r="T17" s="1074"/>
      <c r="U17" s="1074"/>
      <c r="V17" s="1069"/>
      <c r="W17" s="1069"/>
      <c r="X17" s="1069"/>
      <c r="Y17" s="1069"/>
      <c r="Z17" s="1073"/>
      <c r="AA17" s="1073"/>
      <c r="AB17" s="1073"/>
      <c r="AC17" s="1073"/>
      <c r="AD17" s="1068"/>
      <c r="AE17" s="1068"/>
      <c r="AF17" s="1068"/>
      <c r="AG17" s="1068"/>
      <c r="AJ17" s="1"/>
      <c r="AK17" s="203" t="str">
        <f t="shared" si="2"/>
        <v>環閉合                    0       </v>
      </c>
      <c r="AL17" s="169" t="str">
        <f t="shared" si="3"/>
        <v>既知点結合              0       </v>
      </c>
      <c r="AM17" s="203"/>
      <c r="AN17" s="168" t="str">
        <f t="shared" si="0"/>
        <v>環閉合                    0       </v>
      </c>
      <c r="AO17" s="203" t="str">
        <f t="shared" si="1"/>
        <v>既知点結合              0       </v>
      </c>
      <c r="AP17" s="183"/>
      <c r="AR17"/>
    </row>
    <row r="18" spans="2:44" ht="30" customHeight="1">
      <c r="B18" s="1074"/>
      <c r="C18" s="1074"/>
      <c r="D18" s="1074"/>
      <c r="E18" s="1074"/>
      <c r="F18" s="1069"/>
      <c r="G18" s="1069"/>
      <c r="H18" s="1069"/>
      <c r="I18" s="1069"/>
      <c r="J18" s="1082"/>
      <c r="K18" s="1082"/>
      <c r="L18" s="1082"/>
      <c r="M18" s="1082"/>
      <c r="N18" s="1070"/>
      <c r="O18" s="1071"/>
      <c r="P18" s="1071"/>
      <c r="Q18" s="1072"/>
      <c r="R18" s="1074"/>
      <c r="S18" s="1074"/>
      <c r="T18" s="1074"/>
      <c r="U18" s="1074"/>
      <c r="V18" s="1069"/>
      <c r="W18" s="1069"/>
      <c r="X18" s="1069"/>
      <c r="Y18" s="1069"/>
      <c r="Z18" s="1073"/>
      <c r="AA18" s="1073"/>
      <c r="AB18" s="1073"/>
      <c r="AC18" s="1073"/>
      <c r="AD18" s="1068"/>
      <c r="AE18" s="1068"/>
      <c r="AF18" s="1068"/>
      <c r="AG18" s="1068"/>
      <c r="AJ18" s="1"/>
      <c r="AK18" s="203" t="str">
        <f t="shared" si="2"/>
        <v>環閉合                    0       </v>
      </c>
      <c r="AL18" s="169" t="str">
        <f t="shared" si="3"/>
        <v>既知点結合              0       </v>
      </c>
      <c r="AM18" s="203"/>
      <c r="AN18" s="168" t="str">
        <f t="shared" si="0"/>
        <v>環閉合                    0       </v>
      </c>
      <c r="AO18" s="203" t="str">
        <f t="shared" si="1"/>
        <v>既知点結合              0       </v>
      </c>
      <c r="AP18" s="183"/>
      <c r="AR18"/>
    </row>
    <row r="19" spans="2:44" ht="30" customHeight="1">
      <c r="B19" s="1074"/>
      <c r="C19" s="1074"/>
      <c r="D19" s="1074"/>
      <c r="E19" s="1074"/>
      <c r="F19" s="1069"/>
      <c r="G19" s="1069"/>
      <c r="H19" s="1069"/>
      <c r="I19" s="1069"/>
      <c r="J19" s="1082"/>
      <c r="K19" s="1082"/>
      <c r="L19" s="1082"/>
      <c r="M19" s="1082"/>
      <c r="N19" s="1070"/>
      <c r="O19" s="1071"/>
      <c r="P19" s="1071"/>
      <c r="Q19" s="1072"/>
      <c r="R19" s="1074"/>
      <c r="S19" s="1074"/>
      <c r="T19" s="1074"/>
      <c r="U19" s="1074"/>
      <c r="V19" s="1069"/>
      <c r="W19" s="1069"/>
      <c r="X19" s="1069"/>
      <c r="Y19" s="1069"/>
      <c r="Z19" s="1073"/>
      <c r="AA19" s="1073"/>
      <c r="AB19" s="1073"/>
      <c r="AC19" s="1073"/>
      <c r="AD19" s="1068"/>
      <c r="AE19" s="1068"/>
      <c r="AF19" s="1068"/>
      <c r="AG19" s="1068"/>
      <c r="AJ19" s="1"/>
      <c r="AK19" s="203" t="str">
        <f t="shared" si="2"/>
        <v>環閉合                    0       </v>
      </c>
      <c r="AL19" s="169" t="str">
        <f t="shared" si="3"/>
        <v>既知点結合              0       </v>
      </c>
      <c r="AM19" s="203"/>
      <c r="AN19" s="168" t="str">
        <f t="shared" si="0"/>
        <v>環閉合                    0       </v>
      </c>
      <c r="AO19" s="203" t="str">
        <f t="shared" si="1"/>
        <v>既知点結合              0       </v>
      </c>
      <c r="AP19" s="183"/>
      <c r="AR19"/>
    </row>
    <row r="20" spans="2:44" ht="30" customHeight="1">
      <c r="B20" s="1074"/>
      <c r="C20" s="1074"/>
      <c r="D20" s="1074"/>
      <c r="E20" s="1074"/>
      <c r="F20" s="1069"/>
      <c r="G20" s="1069"/>
      <c r="H20" s="1069"/>
      <c r="I20" s="1069"/>
      <c r="J20" s="1082"/>
      <c r="K20" s="1082"/>
      <c r="L20" s="1082"/>
      <c r="M20" s="1082"/>
      <c r="N20" s="1070"/>
      <c r="O20" s="1071"/>
      <c r="P20" s="1071"/>
      <c r="Q20" s="1072"/>
      <c r="R20" s="1074"/>
      <c r="S20" s="1074"/>
      <c r="T20" s="1074"/>
      <c r="U20" s="1074"/>
      <c r="V20" s="1069"/>
      <c r="W20" s="1069"/>
      <c r="X20" s="1069"/>
      <c r="Y20" s="1069"/>
      <c r="Z20" s="1073"/>
      <c r="AA20" s="1073"/>
      <c r="AB20" s="1073"/>
      <c r="AC20" s="1073"/>
      <c r="AD20" s="1068"/>
      <c r="AE20" s="1068"/>
      <c r="AF20" s="1068"/>
      <c r="AG20" s="1068"/>
      <c r="AJ20" s="1"/>
      <c r="AK20" s="203" t="str">
        <f t="shared" si="2"/>
        <v>環閉合                    0       </v>
      </c>
      <c r="AL20" s="169" t="str">
        <f t="shared" si="3"/>
        <v>既知点結合              0       </v>
      </c>
      <c r="AM20" s="203"/>
      <c r="AN20" s="168" t="str">
        <f t="shared" si="0"/>
        <v>環閉合                    0       </v>
      </c>
      <c r="AO20" s="203" t="str">
        <f t="shared" si="1"/>
        <v>既知点結合              0       </v>
      </c>
      <c r="AP20" s="183"/>
      <c r="AR20"/>
    </row>
    <row r="21" spans="2:44" ht="30" customHeight="1">
      <c r="B21" s="1074"/>
      <c r="C21" s="1074"/>
      <c r="D21" s="1074"/>
      <c r="E21" s="1074"/>
      <c r="F21" s="1069"/>
      <c r="G21" s="1069"/>
      <c r="H21" s="1069"/>
      <c r="I21" s="1069"/>
      <c r="J21" s="1082"/>
      <c r="K21" s="1082"/>
      <c r="L21" s="1082"/>
      <c r="M21" s="1082"/>
      <c r="N21" s="1083"/>
      <c r="O21" s="1084"/>
      <c r="P21" s="1084"/>
      <c r="Q21" s="1085"/>
      <c r="R21" s="1074"/>
      <c r="S21" s="1074"/>
      <c r="T21" s="1074"/>
      <c r="U21" s="1074"/>
      <c r="V21" s="1069"/>
      <c r="W21" s="1069"/>
      <c r="X21" s="1069"/>
      <c r="Y21" s="1069"/>
      <c r="Z21" s="1073"/>
      <c r="AA21" s="1073"/>
      <c r="AB21" s="1073"/>
      <c r="AC21" s="1073"/>
      <c r="AD21" s="1068"/>
      <c r="AE21" s="1068"/>
      <c r="AF21" s="1068"/>
      <c r="AG21" s="1068"/>
      <c r="AJ21" s="1"/>
      <c r="AK21" s="203" t="str">
        <f t="shared" si="2"/>
        <v>環閉合                    0       </v>
      </c>
      <c r="AL21" s="169" t="str">
        <f t="shared" si="3"/>
        <v>既知点結合              0       </v>
      </c>
      <c r="AM21" s="203"/>
      <c r="AN21" s="168" t="str">
        <f t="shared" si="0"/>
        <v>環閉合                    0       </v>
      </c>
      <c r="AO21" s="203" t="str">
        <f t="shared" si="1"/>
        <v>既知点結合              0       </v>
      </c>
      <c r="AP21" s="183"/>
      <c r="AR21"/>
    </row>
    <row r="22" spans="2:44" ht="30" customHeight="1">
      <c r="B22" s="1074"/>
      <c r="C22" s="1074"/>
      <c r="D22" s="1074"/>
      <c r="E22" s="1074"/>
      <c r="F22" s="1069"/>
      <c r="G22" s="1069"/>
      <c r="H22" s="1069"/>
      <c r="I22" s="1069"/>
      <c r="J22" s="1082"/>
      <c r="K22" s="1082"/>
      <c r="L22" s="1082"/>
      <c r="M22" s="1082"/>
      <c r="N22" s="1093"/>
      <c r="O22" s="1094"/>
      <c r="P22" s="1094"/>
      <c r="Q22" s="1095"/>
      <c r="R22" s="1074"/>
      <c r="S22" s="1074"/>
      <c r="T22" s="1074"/>
      <c r="U22" s="1074"/>
      <c r="V22" s="1069"/>
      <c r="W22" s="1069"/>
      <c r="X22" s="1069"/>
      <c r="Y22" s="1069"/>
      <c r="Z22" s="1073"/>
      <c r="AA22" s="1073"/>
      <c r="AB22" s="1073"/>
      <c r="AC22" s="1073"/>
      <c r="AD22" s="1068"/>
      <c r="AE22" s="1068"/>
      <c r="AF22" s="1068"/>
      <c r="AG22" s="1068"/>
      <c r="AJ22" s="1"/>
      <c r="AK22" s="203" t="str">
        <f t="shared" si="2"/>
        <v>環閉合                    0       </v>
      </c>
      <c r="AL22" s="169" t="str">
        <f t="shared" si="3"/>
        <v>既知点結合              0       </v>
      </c>
      <c r="AM22" s="203"/>
      <c r="AN22" s="168" t="str">
        <f t="shared" si="0"/>
        <v>環閉合                    0       </v>
      </c>
      <c r="AO22" s="203" t="str">
        <f t="shared" si="1"/>
        <v>既知点結合              0       </v>
      </c>
      <c r="AP22" s="183"/>
      <c r="AR22"/>
    </row>
    <row r="23" spans="2:44" ht="30" customHeight="1">
      <c r="B23" s="1074"/>
      <c r="C23" s="1074"/>
      <c r="D23" s="1074"/>
      <c r="E23" s="1074"/>
      <c r="F23" s="1069"/>
      <c r="G23" s="1069"/>
      <c r="H23" s="1069"/>
      <c r="I23" s="1069"/>
      <c r="J23" s="1082"/>
      <c r="K23" s="1082"/>
      <c r="L23" s="1082"/>
      <c r="M23" s="1082"/>
      <c r="N23" s="1070"/>
      <c r="O23" s="1071"/>
      <c r="P23" s="1071"/>
      <c r="Q23" s="1072"/>
      <c r="R23" s="1074"/>
      <c r="S23" s="1074"/>
      <c r="T23" s="1074"/>
      <c r="U23" s="1074"/>
      <c r="V23" s="1069"/>
      <c r="W23" s="1069"/>
      <c r="X23" s="1069"/>
      <c r="Y23" s="1069"/>
      <c r="Z23" s="1073"/>
      <c r="AA23" s="1073"/>
      <c r="AB23" s="1073"/>
      <c r="AC23" s="1073"/>
      <c r="AD23" s="1068"/>
      <c r="AE23" s="1068"/>
      <c r="AF23" s="1068"/>
      <c r="AG23" s="1068"/>
      <c r="AJ23" s="1"/>
      <c r="AK23" s="203" t="str">
        <f t="shared" si="2"/>
        <v>環閉合                    0       </v>
      </c>
      <c r="AL23" s="169" t="str">
        <f t="shared" si="3"/>
        <v>既知点結合              0       </v>
      </c>
      <c r="AM23" s="203"/>
      <c r="AN23" s="168" t="str">
        <f t="shared" si="0"/>
        <v>環閉合                    0       </v>
      </c>
      <c r="AO23" s="203" t="str">
        <f t="shared" si="1"/>
        <v>既知点結合              0       </v>
      </c>
      <c r="AP23" s="183"/>
      <c r="AR23"/>
    </row>
    <row r="24" spans="2:44" ht="30" customHeight="1">
      <c r="B24" s="1074"/>
      <c r="C24" s="1074"/>
      <c r="D24" s="1074"/>
      <c r="E24" s="1074"/>
      <c r="F24" s="1069"/>
      <c r="G24" s="1069"/>
      <c r="H24" s="1069"/>
      <c r="I24" s="1069"/>
      <c r="J24" s="1082"/>
      <c r="K24" s="1082"/>
      <c r="L24" s="1082"/>
      <c r="M24" s="1082"/>
      <c r="N24" s="1070"/>
      <c r="O24" s="1071"/>
      <c r="P24" s="1071"/>
      <c r="Q24" s="1072"/>
      <c r="R24" s="1074"/>
      <c r="S24" s="1074"/>
      <c r="T24" s="1074"/>
      <c r="U24" s="1074"/>
      <c r="V24" s="1069"/>
      <c r="W24" s="1069"/>
      <c r="X24" s="1069"/>
      <c r="Y24" s="1069"/>
      <c r="Z24" s="1073"/>
      <c r="AA24" s="1073"/>
      <c r="AB24" s="1073"/>
      <c r="AC24" s="1073"/>
      <c r="AD24" s="1068"/>
      <c r="AE24" s="1068"/>
      <c r="AF24" s="1068"/>
      <c r="AG24" s="1068"/>
      <c r="AJ24" s="1"/>
      <c r="AK24" s="203" t="str">
        <f t="shared" si="2"/>
        <v>環閉合                    0       </v>
      </c>
      <c r="AL24" s="169" t="str">
        <f t="shared" si="3"/>
        <v>既知点結合              0       </v>
      </c>
      <c r="AM24" s="203"/>
      <c r="AN24" s="168" t="str">
        <f t="shared" si="0"/>
        <v>環閉合                    0       </v>
      </c>
      <c r="AO24" s="203" t="str">
        <f t="shared" si="1"/>
        <v>既知点結合              0       </v>
      </c>
      <c r="AP24" s="183"/>
      <c r="AR24"/>
    </row>
    <row r="25" spans="2:44" ht="30" customHeight="1">
      <c r="B25" s="1074"/>
      <c r="C25" s="1074"/>
      <c r="D25" s="1074"/>
      <c r="E25" s="1074"/>
      <c r="F25" s="1069"/>
      <c r="G25" s="1069"/>
      <c r="H25" s="1069"/>
      <c r="I25" s="1069"/>
      <c r="J25" s="1082"/>
      <c r="K25" s="1082"/>
      <c r="L25" s="1082"/>
      <c r="M25" s="1082"/>
      <c r="N25" s="1083"/>
      <c r="O25" s="1084"/>
      <c r="P25" s="1084"/>
      <c r="Q25" s="1085"/>
      <c r="R25" s="1074"/>
      <c r="S25" s="1074"/>
      <c r="T25" s="1074"/>
      <c r="U25" s="1074"/>
      <c r="V25" s="1069"/>
      <c r="W25" s="1069"/>
      <c r="X25" s="1069"/>
      <c r="Y25" s="1069"/>
      <c r="Z25" s="1073"/>
      <c r="AA25" s="1073"/>
      <c r="AB25" s="1073"/>
      <c r="AC25" s="1073"/>
      <c r="AD25" s="1068"/>
      <c r="AE25" s="1068"/>
      <c r="AF25" s="1068"/>
      <c r="AG25" s="1068"/>
      <c r="AJ25" s="1"/>
      <c r="AK25" s="203" t="str">
        <f t="shared" si="2"/>
        <v>環閉合                    0       </v>
      </c>
      <c r="AL25" s="169" t="str">
        <f t="shared" si="3"/>
        <v>既知点結合              0       </v>
      </c>
      <c r="AM25" s="203"/>
      <c r="AN25" s="168" t="str">
        <f t="shared" si="0"/>
        <v>環閉合                    0       </v>
      </c>
      <c r="AO25" s="203" t="str">
        <f t="shared" si="1"/>
        <v>既知点結合              0       </v>
      </c>
      <c r="AP25" s="183"/>
      <c r="AR25"/>
    </row>
    <row r="26" spans="2:44" ht="30" customHeight="1">
      <c r="B26" s="1074"/>
      <c r="C26" s="1074"/>
      <c r="D26" s="1074"/>
      <c r="E26" s="1074"/>
      <c r="F26" s="1069"/>
      <c r="G26" s="1069"/>
      <c r="H26" s="1069"/>
      <c r="I26" s="1069"/>
      <c r="J26" s="1082"/>
      <c r="K26" s="1082"/>
      <c r="L26" s="1082"/>
      <c r="M26" s="1082"/>
      <c r="N26" s="1070"/>
      <c r="O26" s="1071"/>
      <c r="P26" s="1071"/>
      <c r="Q26" s="1072"/>
      <c r="R26" s="1074"/>
      <c r="S26" s="1074"/>
      <c r="T26" s="1074"/>
      <c r="U26" s="1074"/>
      <c r="V26" s="1069"/>
      <c r="W26" s="1069"/>
      <c r="X26" s="1069"/>
      <c r="Y26" s="1069"/>
      <c r="Z26" s="1073"/>
      <c r="AA26" s="1073"/>
      <c r="AB26" s="1073"/>
      <c r="AC26" s="1073"/>
      <c r="AD26" s="1068"/>
      <c r="AE26" s="1068"/>
      <c r="AF26" s="1068"/>
      <c r="AG26" s="1068"/>
      <c r="AJ26" s="1"/>
      <c r="AK26" s="203" t="str">
        <f t="shared" si="2"/>
        <v>環閉合                    0       </v>
      </c>
      <c r="AL26" s="169" t="str">
        <f t="shared" si="3"/>
        <v>既知点結合              0       </v>
      </c>
      <c r="AM26" s="203"/>
      <c r="AN26" s="168" t="str">
        <f t="shared" si="0"/>
        <v>環閉合                    0       </v>
      </c>
      <c r="AO26" s="203" t="str">
        <f t="shared" si="1"/>
        <v>既知点結合              0       </v>
      </c>
      <c r="AP26" s="183"/>
      <c r="AR26"/>
    </row>
    <row r="27" spans="2:44" ht="30" customHeight="1">
      <c r="B27" s="1074"/>
      <c r="C27" s="1074"/>
      <c r="D27" s="1074"/>
      <c r="E27" s="1074"/>
      <c r="F27" s="1069"/>
      <c r="G27" s="1069"/>
      <c r="H27" s="1069"/>
      <c r="I27" s="1069"/>
      <c r="J27" s="1082"/>
      <c r="K27" s="1082"/>
      <c r="L27" s="1082"/>
      <c r="M27" s="1082"/>
      <c r="N27" s="1083"/>
      <c r="O27" s="1084"/>
      <c r="P27" s="1084"/>
      <c r="Q27" s="1085"/>
      <c r="R27" s="1074"/>
      <c r="S27" s="1074"/>
      <c r="T27" s="1074"/>
      <c r="U27" s="1074"/>
      <c r="V27" s="1069"/>
      <c r="W27" s="1069"/>
      <c r="X27" s="1069"/>
      <c r="Y27" s="1069"/>
      <c r="Z27" s="1073"/>
      <c r="AA27" s="1073"/>
      <c r="AB27" s="1073"/>
      <c r="AC27" s="1073"/>
      <c r="AD27" s="1068"/>
      <c r="AE27" s="1068"/>
      <c r="AF27" s="1068"/>
      <c r="AG27" s="1068"/>
      <c r="AJ27" s="1"/>
      <c r="AK27" s="203" t="str">
        <f t="shared" si="2"/>
        <v>環閉合                    0       </v>
      </c>
      <c r="AL27" s="169" t="str">
        <f t="shared" si="3"/>
        <v>既知点結合              0       </v>
      </c>
      <c r="AM27" s="203"/>
      <c r="AN27" s="168" t="str">
        <f t="shared" si="0"/>
        <v>環閉合                    0       </v>
      </c>
      <c r="AO27" s="203" t="str">
        <f t="shared" si="1"/>
        <v>既知点結合              0       </v>
      </c>
      <c r="AP27" s="183"/>
      <c r="AR27"/>
    </row>
    <row r="28" spans="2:44" ht="30" customHeight="1">
      <c r="B28" s="1074"/>
      <c r="C28" s="1074"/>
      <c r="D28" s="1074"/>
      <c r="E28" s="1074"/>
      <c r="F28" s="1069"/>
      <c r="G28" s="1069"/>
      <c r="H28" s="1069"/>
      <c r="I28" s="1069"/>
      <c r="J28" s="1082"/>
      <c r="K28" s="1082"/>
      <c r="L28" s="1082"/>
      <c r="M28" s="1082"/>
      <c r="N28" s="1070"/>
      <c r="O28" s="1071"/>
      <c r="P28" s="1071"/>
      <c r="Q28" s="1072"/>
      <c r="R28" s="1074"/>
      <c r="S28" s="1074"/>
      <c r="T28" s="1074"/>
      <c r="U28" s="1074"/>
      <c r="V28" s="1069"/>
      <c r="W28" s="1069"/>
      <c r="X28" s="1069"/>
      <c r="Y28" s="1069"/>
      <c r="Z28" s="1073"/>
      <c r="AA28" s="1073"/>
      <c r="AB28" s="1073"/>
      <c r="AC28" s="1073"/>
      <c r="AD28" s="1068"/>
      <c r="AE28" s="1068"/>
      <c r="AF28" s="1068"/>
      <c r="AG28" s="1068"/>
      <c r="AJ28" s="1"/>
      <c r="AK28" s="305" t="str">
        <f>$AK$7&amp;"                    "&amp;ROUNDDOWN($AL$6*(F28^0.5),0)&amp;"       "</f>
        <v>環閉合                    0       </v>
      </c>
      <c r="AL28" s="304" t="str">
        <f>$AK$8&amp;"              "&amp;ROUNDDOWN($AL$7*(F28^0.5),0)&amp;"       "</f>
        <v>既知点結合              0       </v>
      </c>
      <c r="AM28" s="305"/>
      <c r="AN28" s="303" t="str">
        <f t="shared" si="0"/>
        <v>環閉合                    0       </v>
      </c>
      <c r="AO28" s="305" t="str">
        <f t="shared" si="1"/>
        <v>既知点結合              0       </v>
      </c>
      <c r="AP28" s="183"/>
      <c r="AR28"/>
    </row>
    <row r="29" spans="2:47" ht="30" customHeight="1">
      <c r="B29" s="1064" t="s">
        <v>108</v>
      </c>
      <c r="C29" s="1064"/>
      <c r="D29" s="1064"/>
      <c r="E29" s="1064"/>
      <c r="F29" s="1104" t="str">
        <f>"機器  "&amp;IF('業務情報'!G9="","",'業務情報'!G9)&amp;IF('業務情報'!G10="","",'業務情報'!G10)</f>
        <v>機器  WILD NA3003A No.206265SOKKIA PL1 NO.31415927</v>
      </c>
      <c r="G29" s="1105"/>
      <c r="H29" s="1105"/>
      <c r="I29" s="1105"/>
      <c r="J29" s="1105"/>
      <c r="K29" s="1105"/>
      <c r="L29" s="1105"/>
      <c r="M29" s="1105"/>
      <c r="N29" s="1105"/>
      <c r="O29" s="1105"/>
      <c r="P29" s="1105"/>
      <c r="Q29" s="1106"/>
      <c r="R29" s="1049" t="s">
        <v>109</v>
      </c>
      <c r="S29" s="1049"/>
      <c r="T29" s="1049"/>
      <c r="U29" s="1049"/>
      <c r="V29" s="1110"/>
      <c r="W29" s="1111"/>
      <c r="X29" s="1111"/>
      <c r="Y29" s="1111"/>
      <c r="Z29" s="1111"/>
      <c r="AA29" s="1111"/>
      <c r="AB29" s="1111"/>
      <c r="AC29" s="1111"/>
      <c r="AD29" s="1111"/>
      <c r="AE29" s="1111"/>
      <c r="AF29" s="1111"/>
      <c r="AG29" s="1112"/>
      <c r="AP29" s="183"/>
      <c r="AR29"/>
      <c r="AU29" s="5"/>
    </row>
    <row r="30" spans="2:44" ht="30" customHeight="1">
      <c r="B30" s="1064"/>
      <c r="C30" s="1064"/>
      <c r="D30" s="1064"/>
      <c r="E30" s="1064"/>
      <c r="F30" s="1107" t="str">
        <f>"標尺  "&amp;IF('業務情報'!G11="","",'業務情報'!G11)&amp;" , "&amp;IF('業務情報'!G12="","",'業務情報'!G12)</f>
        <v>標尺  NEDO GTL4C NO.206265 , SOKKIA BGS40A NO.206265</v>
      </c>
      <c r="G30" s="1108"/>
      <c r="H30" s="1108"/>
      <c r="I30" s="1108"/>
      <c r="J30" s="1108"/>
      <c r="K30" s="1108"/>
      <c r="L30" s="1108"/>
      <c r="M30" s="1108"/>
      <c r="N30" s="1108"/>
      <c r="O30" s="1108"/>
      <c r="P30" s="1108"/>
      <c r="Q30" s="1109"/>
      <c r="R30" s="1049"/>
      <c r="S30" s="1049"/>
      <c r="T30" s="1049"/>
      <c r="U30" s="1049"/>
      <c r="V30" s="1113"/>
      <c r="W30" s="1114"/>
      <c r="X30" s="1114"/>
      <c r="Y30" s="1114"/>
      <c r="Z30" s="1114"/>
      <c r="AA30" s="1114"/>
      <c r="AB30" s="1114"/>
      <c r="AC30" s="1114"/>
      <c r="AD30" s="1114"/>
      <c r="AE30" s="1114"/>
      <c r="AF30" s="1114"/>
      <c r="AG30" s="1115"/>
      <c r="AK30" s="164">
        <f>LEN(AK28)</f>
        <v>31</v>
      </c>
      <c r="AL30" s="164">
        <f>LEN(AL28)</f>
        <v>27</v>
      </c>
      <c r="AN30" s="164">
        <f>LEN(AN28)</f>
        <v>31</v>
      </c>
      <c r="AO30" s="164">
        <f>LEN(AO28)</f>
        <v>27</v>
      </c>
      <c r="AR30"/>
    </row>
    <row r="31" spans="2:33" ht="13.5" customHeight="1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2:33" ht="16.5" customHeight="1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</row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sheetProtection formatCells="0"/>
  <mergeCells count="190">
    <mergeCell ref="F29:Q29"/>
    <mergeCell ref="F30:Q30"/>
    <mergeCell ref="V29:AG29"/>
    <mergeCell ref="V30:AG30"/>
    <mergeCell ref="AD9:AG9"/>
    <mergeCell ref="Z9:AC9"/>
    <mergeCell ref="B9:E9"/>
    <mergeCell ref="B5:AG5"/>
    <mergeCell ref="V7:Z7"/>
    <mergeCell ref="AB7:AF7"/>
    <mergeCell ref="B6:H6"/>
    <mergeCell ref="N7:U7"/>
    <mergeCell ref="I7:M7"/>
    <mergeCell ref="B7:H7"/>
    <mergeCell ref="B1:AG1"/>
    <mergeCell ref="B4:AG4"/>
    <mergeCell ref="B3:AG3"/>
    <mergeCell ref="B2:E2"/>
    <mergeCell ref="F2:AG2"/>
    <mergeCell ref="N16:Q16"/>
    <mergeCell ref="N22:Q22"/>
    <mergeCell ref="N20:Q20"/>
    <mergeCell ref="N17:Q17"/>
    <mergeCell ref="N18:Q18"/>
    <mergeCell ref="N13:Q13"/>
    <mergeCell ref="N14:Q14"/>
    <mergeCell ref="N15:Q15"/>
    <mergeCell ref="R8:U8"/>
    <mergeCell ref="N12:Q12"/>
    <mergeCell ref="N10:Q10"/>
    <mergeCell ref="N11:Q11"/>
    <mergeCell ref="N8:Q8"/>
    <mergeCell ref="R9:U9"/>
    <mergeCell ref="N9:Q9"/>
    <mergeCell ref="R23:U23"/>
    <mergeCell ref="R24:U24"/>
    <mergeCell ref="R25:U25"/>
    <mergeCell ref="N23:Q23"/>
    <mergeCell ref="N24:Q24"/>
    <mergeCell ref="N25:Q25"/>
    <mergeCell ref="J18:M18"/>
    <mergeCell ref="J19:M19"/>
    <mergeCell ref="J20:M20"/>
    <mergeCell ref="R22:U22"/>
    <mergeCell ref="N19:Q19"/>
    <mergeCell ref="N21:Q21"/>
    <mergeCell ref="R18:U18"/>
    <mergeCell ref="R19:U19"/>
    <mergeCell ref="R20:U20"/>
    <mergeCell ref="R21:U21"/>
    <mergeCell ref="I6:M6"/>
    <mergeCell ref="N6:U6"/>
    <mergeCell ref="AB6:AG6"/>
    <mergeCell ref="V6:AA6"/>
    <mergeCell ref="B8:E8"/>
    <mergeCell ref="B11:E11"/>
    <mergeCell ref="B12:E12"/>
    <mergeCell ref="B10:E10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F8:I8"/>
    <mergeCell ref="F11:I11"/>
    <mergeCell ref="F12:I12"/>
    <mergeCell ref="F10:I10"/>
    <mergeCell ref="F9:I9"/>
    <mergeCell ref="F13:I13"/>
    <mergeCell ref="F14:I14"/>
    <mergeCell ref="F15:I15"/>
    <mergeCell ref="F16:I16"/>
    <mergeCell ref="F25:I25"/>
    <mergeCell ref="F26:I26"/>
    <mergeCell ref="F27:I27"/>
    <mergeCell ref="F17:I17"/>
    <mergeCell ref="F18:I18"/>
    <mergeCell ref="F19:I19"/>
    <mergeCell ref="F20:I20"/>
    <mergeCell ref="F21:I21"/>
    <mergeCell ref="F22:I22"/>
    <mergeCell ref="F23:I23"/>
    <mergeCell ref="F28:I28"/>
    <mergeCell ref="J8:M8"/>
    <mergeCell ref="J11:M11"/>
    <mergeCell ref="J12:M12"/>
    <mergeCell ref="J13:M13"/>
    <mergeCell ref="J14:M14"/>
    <mergeCell ref="J15:M15"/>
    <mergeCell ref="J16:M16"/>
    <mergeCell ref="J17:M17"/>
    <mergeCell ref="F24:I24"/>
    <mergeCell ref="J21:M21"/>
    <mergeCell ref="J22:M22"/>
    <mergeCell ref="J23:M23"/>
    <mergeCell ref="J24:M24"/>
    <mergeCell ref="J25:M25"/>
    <mergeCell ref="R28:U28"/>
    <mergeCell ref="J26:M26"/>
    <mergeCell ref="J27:M27"/>
    <mergeCell ref="J28:M28"/>
    <mergeCell ref="N26:Q26"/>
    <mergeCell ref="N27:Q27"/>
    <mergeCell ref="V11:Y11"/>
    <mergeCell ref="V12:Y12"/>
    <mergeCell ref="R17:U17"/>
    <mergeCell ref="R26:U26"/>
    <mergeCell ref="R11:U11"/>
    <mergeCell ref="R12:U12"/>
    <mergeCell ref="R13:U13"/>
    <mergeCell ref="R14:U14"/>
    <mergeCell ref="R15:U15"/>
    <mergeCell ref="R16:U16"/>
    <mergeCell ref="V13:Y13"/>
    <mergeCell ref="V14:Y14"/>
    <mergeCell ref="V15:Y15"/>
    <mergeCell ref="V16:Y16"/>
    <mergeCell ref="Z26:AC26"/>
    <mergeCell ref="V17:Y17"/>
    <mergeCell ref="V18:Y18"/>
    <mergeCell ref="V19:Y19"/>
    <mergeCell ref="V20:Y20"/>
    <mergeCell ref="V21:Y21"/>
    <mergeCell ref="V22:Y22"/>
    <mergeCell ref="V23:Y23"/>
    <mergeCell ref="V24:Y24"/>
    <mergeCell ref="V25:Y25"/>
    <mergeCell ref="Z15:AC15"/>
    <mergeCell ref="Z16:AC16"/>
    <mergeCell ref="V26:Y26"/>
    <mergeCell ref="Z18:AC18"/>
    <mergeCell ref="Z19:AC19"/>
    <mergeCell ref="Z20:AC20"/>
    <mergeCell ref="Z21:AC21"/>
    <mergeCell ref="Z22:AC22"/>
    <mergeCell ref="Z23:AC23"/>
    <mergeCell ref="Z25:AC25"/>
    <mergeCell ref="Z11:AC11"/>
    <mergeCell ref="Z12:AC12"/>
    <mergeCell ref="Z13:AC13"/>
    <mergeCell ref="Z14:AC14"/>
    <mergeCell ref="AD15:AG15"/>
    <mergeCell ref="AD16:AG16"/>
    <mergeCell ref="AD17:AG17"/>
    <mergeCell ref="Z24:AC24"/>
    <mergeCell ref="Z17:AC17"/>
    <mergeCell ref="AD18:AG18"/>
    <mergeCell ref="AD19:AG19"/>
    <mergeCell ref="AD20:AG20"/>
    <mergeCell ref="AD21:AG21"/>
    <mergeCell ref="AD22:AG22"/>
    <mergeCell ref="AD11:AG11"/>
    <mergeCell ref="AD12:AG12"/>
    <mergeCell ref="AD13:AG13"/>
    <mergeCell ref="AD14:AG14"/>
    <mergeCell ref="AD23:AG23"/>
    <mergeCell ref="AD24:AG24"/>
    <mergeCell ref="AD25:AG25"/>
    <mergeCell ref="AD26:AG26"/>
    <mergeCell ref="AD27:AG27"/>
    <mergeCell ref="AD28:AG28"/>
    <mergeCell ref="B29:E30"/>
    <mergeCell ref="R29:U30"/>
    <mergeCell ref="V28:Y28"/>
    <mergeCell ref="N28:Q28"/>
    <mergeCell ref="Z28:AC28"/>
    <mergeCell ref="R27:U27"/>
    <mergeCell ref="Z27:AC27"/>
    <mergeCell ref="V27:Y27"/>
    <mergeCell ref="AD8:AG8"/>
    <mergeCell ref="V8:Y8"/>
    <mergeCell ref="J10:M10"/>
    <mergeCell ref="AD10:AG10"/>
    <mergeCell ref="Z10:AC10"/>
    <mergeCell ref="V10:Y10"/>
    <mergeCell ref="R10:U10"/>
    <mergeCell ref="Z8:AC8"/>
    <mergeCell ref="J9:M9"/>
    <mergeCell ref="V9:Y9"/>
  </mergeCells>
  <conditionalFormatting sqref="Z10:AC28 J11:M28">
    <cfRule type="expression" priority="1" dxfId="4" stopIfTrue="1">
      <formula>ABS(J10)&gt;RIGHT(N10,10)*1</formula>
    </cfRule>
  </conditionalFormatting>
  <conditionalFormatting sqref="N10:N28">
    <cfRule type="cellIs" priority="2" dxfId="10" operator="notEqual" stopIfTrue="1">
      <formula>IF(AND(B10&lt;&gt;"",F10&lt;&gt;""),IF(LEN(N10)&gt;30,AK10,IF(LEN(N10)&lt;30,AL10,$AL$8)))</formula>
    </cfRule>
    <cfRule type="expression" priority="3" dxfId="1" stopIfTrue="1">
      <formula>AND(F10&lt;&gt;"",B10&lt;&gt;"",LEN(N10)=0)</formula>
    </cfRule>
  </conditionalFormatting>
  <conditionalFormatting sqref="AD11:AG28">
    <cfRule type="cellIs" priority="4" dxfId="10" operator="notEqual" stopIfTrue="1">
      <formula>IF(AND(R11&lt;&gt;"",V11&lt;&gt;""),IF(LEN(AD11)&gt;30,AN11,IF(LEN(AD11)&lt;30,AO11,$AL$8)))</formula>
    </cfRule>
    <cfRule type="expression" priority="5" dxfId="1" stopIfTrue="1">
      <formula>AND(V11&lt;&gt;"",R11&lt;&gt;"",LEN(AD11)=0)</formula>
    </cfRule>
  </conditionalFormatting>
  <conditionalFormatting sqref="AD10:AG10">
    <cfRule type="cellIs" priority="6" dxfId="10" operator="notEqual" stopIfTrue="1">
      <formula>IF(AND(R10&lt;&gt;"",V10&lt;&gt;""),IF(LEN(AD10)&gt;30,AN10,IF(LEN(AD10)&lt;30,A+$AH$10,$AL$8)))</formula>
    </cfRule>
    <cfRule type="expression" priority="7" dxfId="1" stopIfTrue="1">
      <formula>AND(V10&lt;&gt;"",R10&lt;&gt;"",LEN(AD10)=0)</formula>
    </cfRule>
  </conditionalFormatting>
  <dataValidations count="3">
    <dataValidation allowBlank="1" showInputMessage="1" showErrorMessage="1" imeMode="off" sqref="Z10:Z28 F10:F28 J10:J28 V10:V28"/>
    <dataValidation type="list" allowBlank="1" showInputMessage="1" showErrorMessage="1" sqref="AD10:AG28">
      <formula1>IF(V10="",$AK$3:$AK$5,AM10:AO10)</formula1>
    </dataValidation>
    <dataValidation type="list" allowBlank="1" showInputMessage="1" showErrorMessage="1" sqref="N10:Q28">
      <formula1>IF(F10="",$AK$3:$AK$5,AJ10:AL10)</formula1>
    </dataValidation>
  </dataValidations>
  <hyperlinks>
    <hyperlink ref="B2:E2" location="業務情報!A1" tooltip="業務情報シートに移動" display="業務情報"/>
  </hyperlinks>
  <printOptions horizontalCentered="1" verticalCentered="1"/>
  <pageMargins left="0.5905511811023623" right="0.5905511811023623" top="0.984251968503937" bottom="0.7874015748031497" header="0.5118110236220472" footer="0.5118110236220472"/>
  <pageSetup blackAndWhite="1"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8">
    <tabColor indexed="44"/>
  </sheetPr>
  <dimension ref="A1:BJ34"/>
  <sheetViews>
    <sheetView showGridLines="0" workbookViewId="0" topLeftCell="A1">
      <selection activeCell="A1" sqref="A1"/>
    </sheetView>
  </sheetViews>
  <sheetFormatPr defaultColWidth="8.625" defaultRowHeight="13.5"/>
  <cols>
    <col min="1" max="1" width="5.00390625" style="0" customWidth="1"/>
    <col min="2" max="2" width="8.625" style="0" customWidth="1"/>
    <col min="3" max="5" width="0.12890625" style="0" customWidth="1"/>
    <col min="6" max="6" width="8.625" style="0" customWidth="1"/>
    <col min="7" max="9" width="0.12890625" style="0" customWidth="1"/>
    <col min="10" max="10" width="8.625" style="0" customWidth="1"/>
    <col min="11" max="13" width="0.12890625" style="0" customWidth="1"/>
    <col min="14" max="21" width="2.75390625" style="0" customWidth="1"/>
    <col min="22" max="25" width="2.75390625" style="7" customWidth="1"/>
    <col min="26" max="26" width="8.625" style="7" customWidth="1"/>
    <col min="27" max="29" width="0.12890625" style="7" customWidth="1"/>
    <col min="30" max="30" width="8.625" style="0" customWidth="1"/>
    <col min="31" max="33" width="0.12890625" style="0" customWidth="1"/>
    <col min="34" max="34" width="8.625" style="7" customWidth="1"/>
    <col min="35" max="37" width="0.12890625" style="7" customWidth="1"/>
    <col min="38" max="45" width="2.75390625" style="0" customWidth="1"/>
    <col min="46" max="49" width="2.75390625" style="7" customWidth="1"/>
    <col min="50" max="54" width="5.00390625" style="0" customWidth="1"/>
    <col min="55" max="55" width="25.00390625" style="67" customWidth="1"/>
    <col min="56" max="56" width="20.75390625" style="67" customWidth="1"/>
    <col min="57" max="57" width="16.875" style="170" customWidth="1"/>
    <col min="58" max="58" width="14.375" style="170" customWidth="1"/>
    <col min="59" max="59" width="5.625" style="170" customWidth="1"/>
    <col min="60" max="60" width="8.625" style="11" customWidth="1"/>
  </cols>
  <sheetData>
    <row r="1" spans="2:49" ht="21.75" customHeight="1"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</row>
    <row r="2" spans="2:49" ht="27" customHeight="1">
      <c r="B2" s="607" t="s">
        <v>388</v>
      </c>
      <c r="C2" s="607"/>
      <c r="D2" s="607"/>
      <c r="E2" s="607"/>
      <c r="F2" s="608" t="s">
        <v>23</v>
      </c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608"/>
      <c r="AW2" s="608"/>
    </row>
    <row r="3" spans="2:49" ht="21" customHeight="1">
      <c r="B3" s="605" t="s">
        <v>44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</row>
    <row r="4" spans="2:49" ht="21" customHeight="1" thickBot="1">
      <c r="B4" s="665"/>
      <c r="C4" s="665"/>
      <c r="D4" s="665"/>
      <c r="E4" s="665"/>
      <c r="F4" s="665"/>
      <c r="G4" s="665"/>
      <c r="H4" s="665"/>
      <c r="I4" s="665"/>
      <c r="J4" s="665"/>
      <c r="K4" s="665"/>
      <c r="L4" s="665"/>
      <c r="M4" s="665"/>
      <c r="N4" s="665"/>
      <c r="O4" s="665"/>
      <c r="P4" s="665"/>
      <c r="Q4" s="665"/>
      <c r="R4" s="665"/>
      <c r="S4" s="665"/>
      <c r="T4" s="665"/>
      <c r="U4" s="665"/>
      <c r="V4" s="665"/>
      <c r="W4" s="665"/>
      <c r="X4" s="665"/>
      <c r="Y4" s="665"/>
      <c r="Z4" s="665"/>
      <c r="AA4" s="665"/>
      <c r="AB4" s="665"/>
      <c r="AC4" s="665"/>
      <c r="AD4" s="665"/>
      <c r="AE4" s="665"/>
      <c r="AF4" s="665"/>
      <c r="AG4" s="665"/>
      <c r="AH4" s="665"/>
      <c r="AI4" s="665"/>
      <c r="AJ4" s="665"/>
      <c r="AK4" s="665"/>
      <c r="AL4" s="665"/>
      <c r="AM4" s="665"/>
      <c r="AN4" s="1146" t="s">
        <v>499</v>
      </c>
      <c r="AO4" s="1147"/>
      <c r="AP4" s="1147"/>
      <c r="AQ4" s="1147"/>
      <c r="AR4" s="1147"/>
      <c r="AS4" s="1147"/>
      <c r="AT4" s="1147"/>
      <c r="AU4" s="1147"/>
      <c r="AV4" s="1147"/>
      <c r="AW4" s="1147"/>
    </row>
    <row r="5" spans="2:49" ht="24" customHeight="1" thickBot="1">
      <c r="B5" s="1121" t="s">
        <v>384</v>
      </c>
      <c r="C5" s="1122"/>
      <c r="D5" s="1122"/>
      <c r="E5" s="1123"/>
      <c r="F5" s="472" t="s">
        <v>32</v>
      </c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4"/>
      <c r="U5" s="1124" t="s">
        <v>385</v>
      </c>
      <c r="V5" s="1125"/>
      <c r="W5" s="1125"/>
      <c r="X5" s="1126"/>
      <c r="Y5" s="472" t="s">
        <v>33</v>
      </c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4"/>
      <c r="AN5" s="1147"/>
      <c r="AO5" s="1147"/>
      <c r="AP5" s="1147"/>
      <c r="AQ5" s="1147"/>
      <c r="AR5" s="1147"/>
      <c r="AS5" s="1147"/>
      <c r="AT5" s="1147"/>
      <c r="AU5" s="1147"/>
      <c r="AV5" s="1147"/>
      <c r="AW5" s="1147"/>
    </row>
    <row r="6" spans="2:49" ht="21.75" customHeight="1">
      <c r="B6" s="665"/>
      <c r="C6" s="665"/>
      <c r="D6" s="665"/>
      <c r="E6" s="665"/>
      <c r="F6" s="665"/>
      <c r="G6" s="665"/>
      <c r="H6" s="665"/>
      <c r="I6" s="665"/>
      <c r="J6" s="665"/>
      <c r="K6" s="665"/>
      <c r="L6" s="665"/>
      <c r="M6" s="665"/>
      <c r="N6" s="665"/>
      <c r="O6" s="665"/>
      <c r="P6" s="665"/>
      <c r="Q6" s="665"/>
      <c r="R6" s="665"/>
      <c r="S6" s="665"/>
      <c r="T6" s="665"/>
      <c r="U6" s="665"/>
      <c r="V6" s="665"/>
      <c r="W6" s="665"/>
      <c r="X6" s="665"/>
      <c r="Y6" s="665"/>
      <c r="Z6" s="665"/>
      <c r="AA6" s="665"/>
      <c r="AB6" s="665"/>
      <c r="AC6" s="665"/>
      <c r="AD6" s="665"/>
      <c r="AE6" s="665"/>
      <c r="AF6" s="665"/>
      <c r="AG6" s="665"/>
      <c r="AH6" s="665"/>
      <c r="AI6" s="665"/>
      <c r="AJ6" s="665"/>
      <c r="AK6" s="665"/>
      <c r="AL6" s="665"/>
      <c r="AM6" s="665"/>
      <c r="AN6" s="1147"/>
      <c r="AO6" s="1147"/>
      <c r="AP6" s="1147"/>
      <c r="AQ6" s="1147"/>
      <c r="AR6" s="1147"/>
      <c r="AS6" s="1147"/>
      <c r="AT6" s="1147"/>
      <c r="AU6" s="1147"/>
      <c r="AV6" s="1147"/>
      <c r="AW6" s="1147"/>
    </row>
    <row r="7" spans="2:49" ht="30" customHeight="1">
      <c r="B7" s="1120" t="str">
        <f>IF($BC$11=1,$BC$12,$F$5&amp;" 精 度 管 理 表")</f>
        <v>測量内容を選択してください</v>
      </c>
      <c r="C7" s="1120"/>
      <c r="D7" s="1120"/>
      <c r="E7" s="1120"/>
      <c r="F7" s="1120"/>
      <c r="G7" s="1120"/>
      <c r="H7" s="1120"/>
      <c r="I7" s="1120"/>
      <c r="J7" s="1120"/>
      <c r="K7" s="1120"/>
      <c r="L7" s="1120"/>
      <c r="M7" s="1120"/>
      <c r="N7" s="1120"/>
      <c r="O7" s="1120"/>
      <c r="P7" s="1120"/>
      <c r="Q7" s="1120"/>
      <c r="R7" s="1120"/>
      <c r="S7" s="1120"/>
      <c r="T7" s="1120"/>
      <c r="U7" s="1120"/>
      <c r="V7" s="1120"/>
      <c r="W7" s="1120"/>
      <c r="X7" s="1120"/>
      <c r="Y7" s="1120"/>
      <c r="Z7" s="1120"/>
      <c r="AA7" s="1120"/>
      <c r="AB7" s="1120"/>
      <c r="AC7" s="1120"/>
      <c r="AD7" s="1120"/>
      <c r="AE7" s="1120"/>
      <c r="AF7" s="1120"/>
      <c r="AG7" s="1120"/>
      <c r="AH7" s="1120"/>
      <c r="AI7" s="1120"/>
      <c r="AJ7" s="1120"/>
      <c r="AK7" s="1120"/>
      <c r="AL7" s="1120"/>
      <c r="AM7" s="1120"/>
      <c r="AN7" s="1120"/>
      <c r="AO7" s="1120"/>
      <c r="AP7" s="1120"/>
      <c r="AQ7" s="1120"/>
      <c r="AR7" s="1120"/>
      <c r="AS7" s="1120"/>
      <c r="AT7" s="1120"/>
      <c r="AU7" s="1120"/>
      <c r="AV7" s="1120"/>
      <c r="AW7" s="1120"/>
    </row>
    <row r="8" spans="1:56" ht="18.75" customHeight="1">
      <c r="A8" s="8"/>
      <c r="B8" s="1143" t="s">
        <v>110</v>
      </c>
      <c r="C8" s="1143"/>
      <c r="D8" s="1143"/>
      <c r="E8" s="1143"/>
      <c r="F8" s="1143"/>
      <c r="G8" s="1143"/>
      <c r="H8" s="1143"/>
      <c r="I8" s="1143"/>
      <c r="J8" s="1143"/>
      <c r="K8" s="1143"/>
      <c r="L8" s="1143"/>
      <c r="M8" s="1143"/>
      <c r="N8" s="1143"/>
      <c r="O8" s="1143"/>
      <c r="P8" s="1143"/>
      <c r="Q8" s="1143"/>
      <c r="R8" s="1143"/>
      <c r="S8" s="1143"/>
      <c r="T8" s="1143"/>
      <c r="U8" s="1143"/>
      <c r="V8" s="1143"/>
      <c r="W8" s="1143"/>
      <c r="X8" s="1143"/>
      <c r="Y8" s="1143"/>
      <c r="Z8" s="1143"/>
      <c r="AA8" s="1143"/>
      <c r="AB8" s="1143"/>
      <c r="AC8" s="1143"/>
      <c r="AD8" s="1143"/>
      <c r="AE8" s="1143"/>
      <c r="AF8" s="1143"/>
      <c r="AG8" s="1143"/>
      <c r="AH8" s="1143"/>
      <c r="AI8" s="1143"/>
      <c r="AJ8" s="1143"/>
      <c r="AK8" s="1143"/>
      <c r="AL8" s="1143"/>
      <c r="AM8" s="1143"/>
      <c r="AN8" s="1143"/>
      <c r="AO8" s="1143"/>
      <c r="AP8" s="1143"/>
      <c r="AQ8" s="1143"/>
      <c r="AR8" s="1143"/>
      <c r="AS8" s="1143"/>
      <c r="AT8" s="1143"/>
      <c r="AU8" s="1143"/>
      <c r="AV8" s="1143"/>
      <c r="AW8" s="1143"/>
      <c r="BC8" s="170"/>
      <c r="BD8" s="170"/>
    </row>
    <row r="9" spans="2:62" s="1" customFormat="1" ht="30" customHeight="1">
      <c r="B9" s="369" t="s">
        <v>45</v>
      </c>
      <c r="C9" s="370"/>
      <c r="D9" s="370"/>
      <c r="E9" s="1138" t="str">
        <f>IF($BK$12=1,"",IF('業務情報'!$C$3="","",IF('業務情報'!$C$3="","",'業務情報'!$C$3)))</f>
        <v>平成２６年度
○○測量業務</v>
      </c>
      <c r="F9" s="1139"/>
      <c r="G9" s="1139"/>
      <c r="H9" s="1139"/>
      <c r="I9" s="1139"/>
      <c r="J9" s="1139"/>
      <c r="K9" s="1139"/>
      <c r="L9" s="1140"/>
      <c r="M9" s="369" t="s">
        <v>46</v>
      </c>
      <c r="N9" s="370"/>
      <c r="O9" s="371"/>
      <c r="P9" s="496" t="str">
        <f>IF($BJ$12=1,"",IF('業務情報'!$C$6="","",'業務情報'!$C$6))</f>
        <v>○○市　○○地区</v>
      </c>
      <c r="Q9" s="496"/>
      <c r="R9" s="496"/>
      <c r="S9" s="496"/>
      <c r="T9" s="496"/>
      <c r="U9" s="496"/>
      <c r="V9" s="497"/>
      <c r="W9" s="369" t="s">
        <v>126</v>
      </c>
      <c r="X9" s="370"/>
      <c r="Y9" s="371"/>
      <c r="Z9" s="508" t="str">
        <f>IF($BJ$12=1,"",IF('業務情報'!$E$3="","",'業務情報'!$E$3))</f>
        <v>○○地方整備局
○○事務所</v>
      </c>
      <c r="AA9" s="509"/>
      <c r="AB9" s="509"/>
      <c r="AC9" s="509"/>
      <c r="AD9" s="509"/>
      <c r="AE9" s="510"/>
      <c r="AF9" s="369" t="s">
        <v>127</v>
      </c>
      <c r="AG9" s="370"/>
      <c r="AH9" s="371"/>
      <c r="AI9" s="286" t="str">
        <f>IF($BJ$12=1,"",IF('業務情報'!$E$4="","",'業務情報'!$E$4))</f>
        <v>（有）サーベイテック</v>
      </c>
      <c r="AJ9" s="291"/>
      <c r="AK9" s="291"/>
      <c r="AL9" s="1118" t="str">
        <f>'業務情報'!E4</f>
        <v>（有）サーベイテック</v>
      </c>
      <c r="AM9" s="1118"/>
      <c r="AN9" s="1118"/>
      <c r="AO9" s="1118"/>
      <c r="AP9" s="1119"/>
      <c r="AQ9" s="369" t="s">
        <v>48</v>
      </c>
      <c r="AR9" s="975"/>
      <c r="AS9" s="498" t="str">
        <f>IF($BJ$12=1,"",'業務情報'!$G$4)</f>
        <v>曽木亜　説戸</v>
      </c>
      <c r="AT9" s="974"/>
      <c r="AU9" s="974"/>
      <c r="AV9" s="974"/>
      <c r="AW9" s="39" t="s">
        <v>125</v>
      </c>
      <c r="AX9"/>
      <c r="AY9"/>
      <c r="AZ9"/>
      <c r="BA9"/>
      <c r="BB9"/>
      <c r="BC9" s="171"/>
      <c r="BD9" s="171"/>
      <c r="BE9" s="170"/>
      <c r="BF9" s="170"/>
      <c r="BG9" s="170"/>
      <c r="BH9" s="13"/>
      <c r="BJ9" s="6"/>
    </row>
    <row r="10" spans="2:61" s="1" customFormat="1" ht="30" customHeight="1">
      <c r="B10" s="369" t="s">
        <v>49</v>
      </c>
      <c r="C10" s="370"/>
      <c r="D10" s="370"/>
      <c r="E10" s="500" t="str">
        <f>'業務情報'!C5</f>
        <v>国道1024号</v>
      </c>
      <c r="F10" s="501"/>
      <c r="G10" s="501"/>
      <c r="H10" s="501"/>
      <c r="I10" s="501"/>
      <c r="J10" s="501"/>
      <c r="K10" s="501"/>
      <c r="L10" s="502"/>
      <c r="M10" s="369" t="s">
        <v>50</v>
      </c>
      <c r="N10" s="370"/>
      <c r="O10" s="371"/>
      <c r="P10" s="508" t="str">
        <f>IF($BJ$12=1,"",IF('業務情報'!$E$5="","",'業務情報'!$E$5))</f>
        <v>自 平成26年10月10日
至 平成27年3月15日</v>
      </c>
      <c r="Q10" s="509"/>
      <c r="R10" s="509"/>
      <c r="S10" s="509"/>
      <c r="T10" s="509"/>
      <c r="U10" s="509"/>
      <c r="V10" s="510"/>
      <c r="W10" s="369" t="s">
        <v>104</v>
      </c>
      <c r="X10" s="370"/>
      <c r="Y10" s="371"/>
      <c r="Z10" s="1001" t="s">
        <v>673</v>
      </c>
      <c r="AA10" s="511"/>
      <c r="AB10" s="511"/>
      <c r="AC10" s="511"/>
      <c r="AD10" s="511"/>
      <c r="AE10" s="512"/>
      <c r="AF10" s="325" t="s">
        <v>511</v>
      </c>
      <c r="AG10" s="326"/>
      <c r="AH10" s="327"/>
      <c r="AI10" s="286" t="str">
        <f>IF($BJ$12=1,"",IF('業務情報'!$G$3="","",'業務情報'!$G$3))</f>
        <v>兎位瑠度　逓津宇</v>
      </c>
      <c r="AJ10" s="291"/>
      <c r="AK10" s="291"/>
      <c r="AL10" s="1116" t="str">
        <f>'業務情報'!G3</f>
        <v>兎位瑠度　逓津宇</v>
      </c>
      <c r="AM10" s="1117"/>
      <c r="AN10" s="1117"/>
      <c r="AO10" s="1117"/>
      <c r="AP10" s="41" t="s">
        <v>125</v>
      </c>
      <c r="AQ10" s="369" t="s">
        <v>52</v>
      </c>
      <c r="AR10" s="975"/>
      <c r="AS10" s="291"/>
      <c r="AT10" s="291"/>
      <c r="AU10" s="291"/>
      <c r="AV10" s="291"/>
      <c r="AW10" s="292"/>
      <c r="AX10"/>
      <c r="AY10"/>
      <c r="AZ10"/>
      <c r="BA10"/>
      <c r="BB10"/>
      <c r="BC10" s="170"/>
      <c r="BD10" s="170"/>
      <c r="BE10" s="170"/>
      <c r="BF10" s="170"/>
      <c r="BG10" s="170"/>
      <c r="BH10" s="13"/>
      <c r="BI10" s="13"/>
    </row>
    <row r="11" spans="2:60" s="9" customFormat="1" ht="12" customHeight="1">
      <c r="B11" s="880"/>
      <c r="C11" s="880"/>
      <c r="D11" s="880"/>
      <c r="E11" s="880"/>
      <c r="F11" s="880"/>
      <c r="G11" s="880"/>
      <c r="H11" s="880"/>
      <c r="I11" s="880"/>
      <c r="J11" s="880"/>
      <c r="K11" s="880"/>
      <c r="L11" s="880"/>
      <c r="M11" s="880"/>
      <c r="N11" s="880"/>
      <c r="O11" s="880"/>
      <c r="P11" s="880"/>
      <c r="Q11" s="880"/>
      <c r="R11" s="880"/>
      <c r="S11" s="880"/>
      <c r="T11" s="880"/>
      <c r="U11" s="880"/>
      <c r="V11" s="880"/>
      <c r="W11" s="880"/>
      <c r="X11" s="880"/>
      <c r="Y11" s="880"/>
      <c r="Z11" s="880"/>
      <c r="AA11" s="880"/>
      <c r="AB11" s="880"/>
      <c r="AC11" s="880"/>
      <c r="AD11" s="880"/>
      <c r="AE11" s="880"/>
      <c r="AF11" s="880"/>
      <c r="AG11" s="880"/>
      <c r="AH11" s="880"/>
      <c r="AI11" s="880"/>
      <c r="AJ11" s="880"/>
      <c r="AK11" s="880"/>
      <c r="AL11" s="880"/>
      <c r="AM11" s="880"/>
      <c r="AN11" s="880"/>
      <c r="AO11" s="880"/>
      <c r="AP11" s="880"/>
      <c r="AQ11" s="880"/>
      <c r="AR11" s="880"/>
      <c r="AS11" s="880"/>
      <c r="AT11" s="880"/>
      <c r="AU11" s="880"/>
      <c r="AV11" s="880"/>
      <c r="AW11" s="880"/>
      <c r="AX11"/>
      <c r="AY11"/>
      <c r="AZ11"/>
      <c r="BA11"/>
      <c r="BB11"/>
      <c r="BC11" s="72">
        <f>VLOOKUP($F$5,$BC$12:$BD$20,2,0)</f>
        <v>1</v>
      </c>
      <c r="BD11" s="72">
        <f>IF($Y$5=$BC$26,1,IF($Y$5=$BC$27,2,IF(Y5=BC28,3,4)))</f>
        <v>1</v>
      </c>
      <c r="BE11" s="170"/>
      <c r="BF11" s="172">
        <f>IF($BD$11=1,"",IF(OR($BC$11=4,$BC$11=5,$BC$11=6,$BC$11=7,$BC$11=8,$BC$11=9),IF($BD$11=2,$BF$14,$BF$15),IF(OR($BC$11=2,$BC$11=3),IF($BD$11=2,$BF$16,$BF$17))))</f>
      </c>
      <c r="BG11" s="173">
        <f>IF($BD$11=1,"",IF(OR($BC$11=4,$BC$11=5,$BC$11=6,$BC$11=7,$BC$11=8,$BC$11=9),IF($BD$11=2,$BG$14,$BG$15),IF(OR($BC$11=2,$BC$11=3),IF($BD$11=2,$BG$16,$BG$17))))</f>
      </c>
      <c r="BH11" s="38"/>
    </row>
    <row r="12" spans="2:60" s="9" customFormat="1" ht="24" customHeight="1">
      <c r="B12" s="1148" t="s">
        <v>53</v>
      </c>
      <c r="C12" s="312"/>
      <c r="D12" s="312"/>
      <c r="E12" s="313"/>
      <c r="F12" s="427" t="s">
        <v>54</v>
      </c>
      <c r="G12" s="428"/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533"/>
      <c r="V12" s="1132" t="s">
        <v>55</v>
      </c>
      <c r="W12" s="1133"/>
      <c r="X12" s="1133"/>
      <c r="Y12" s="1134"/>
      <c r="Z12" s="1144" t="s">
        <v>53</v>
      </c>
      <c r="AA12" s="1133"/>
      <c r="AB12" s="1133"/>
      <c r="AC12" s="1141"/>
      <c r="AD12" s="427" t="s">
        <v>54</v>
      </c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533"/>
      <c r="AT12" s="1132" t="s">
        <v>55</v>
      </c>
      <c r="AU12" s="1133"/>
      <c r="AV12" s="1133"/>
      <c r="AW12" s="1141"/>
      <c r="AX12"/>
      <c r="AY12"/>
      <c r="AZ12"/>
      <c r="BA12"/>
      <c r="BB12"/>
      <c r="BC12" s="70" t="str">
        <f>$B$5&amp;"を選択してください"</f>
        <v>測量内容を選択してください</v>
      </c>
      <c r="BD12" s="129">
        <v>1</v>
      </c>
      <c r="BE12" s="170"/>
      <c r="BF12" s="170"/>
      <c r="BG12" s="170"/>
      <c r="BH12" s="38"/>
    </row>
    <row r="13" spans="2:60" s="9" customFormat="1" ht="24" customHeight="1">
      <c r="B13" s="308"/>
      <c r="C13" s="374"/>
      <c r="D13" s="374"/>
      <c r="E13" s="375"/>
      <c r="F13" s="533" t="s">
        <v>56</v>
      </c>
      <c r="G13" s="1131"/>
      <c r="H13" s="1131"/>
      <c r="I13" s="1131"/>
      <c r="J13" s="1131" t="s">
        <v>57</v>
      </c>
      <c r="K13" s="1131"/>
      <c r="L13" s="1131"/>
      <c r="M13" s="1131"/>
      <c r="N13" s="1131" t="s">
        <v>58</v>
      </c>
      <c r="O13" s="1131"/>
      <c r="P13" s="1131"/>
      <c r="Q13" s="1131"/>
      <c r="R13" s="1131" t="s">
        <v>59</v>
      </c>
      <c r="S13" s="1131"/>
      <c r="T13" s="1131"/>
      <c r="U13" s="1131"/>
      <c r="V13" s="1135"/>
      <c r="W13" s="1136"/>
      <c r="X13" s="1136"/>
      <c r="Y13" s="1137"/>
      <c r="Z13" s="1145"/>
      <c r="AA13" s="1136"/>
      <c r="AB13" s="1136"/>
      <c r="AC13" s="1142"/>
      <c r="AD13" s="427" t="s">
        <v>56</v>
      </c>
      <c r="AE13" s="428"/>
      <c r="AF13" s="428"/>
      <c r="AG13" s="533"/>
      <c r="AH13" s="427" t="s">
        <v>57</v>
      </c>
      <c r="AI13" s="428"/>
      <c r="AJ13" s="428"/>
      <c r="AK13" s="533"/>
      <c r="AL13" s="427" t="s">
        <v>58</v>
      </c>
      <c r="AM13" s="428"/>
      <c r="AN13" s="428"/>
      <c r="AO13" s="533"/>
      <c r="AP13" s="427" t="s">
        <v>59</v>
      </c>
      <c r="AQ13" s="428"/>
      <c r="AR13" s="428"/>
      <c r="AS13" s="533"/>
      <c r="AT13" s="1135"/>
      <c r="AU13" s="1136"/>
      <c r="AV13" s="1136"/>
      <c r="AW13" s="1142"/>
      <c r="AX13"/>
      <c r="AY13"/>
      <c r="AZ13"/>
      <c r="BA13"/>
      <c r="BB13"/>
      <c r="BC13" s="71" t="s">
        <v>393</v>
      </c>
      <c r="BD13" s="130">
        <v>2</v>
      </c>
      <c r="BE13" s="170"/>
      <c r="BF13" s="170"/>
      <c r="BG13" s="170"/>
      <c r="BH13" s="38"/>
    </row>
    <row r="14" spans="2:60" s="9" customFormat="1" ht="21.75" customHeight="1">
      <c r="B14" s="287"/>
      <c r="C14" s="246"/>
      <c r="D14" s="246"/>
      <c r="E14" s="247"/>
      <c r="F14" s="1149"/>
      <c r="G14" s="1150"/>
      <c r="H14" s="253"/>
      <c r="I14" s="254"/>
      <c r="J14" s="1149"/>
      <c r="K14" s="1150"/>
      <c r="L14" s="253"/>
      <c r="M14" s="254"/>
      <c r="N14" s="1130">
        <f>IF(OR($BD$11=1,V14=""),"",ABS(F14-J14))</f>
      </c>
      <c r="O14" s="1130"/>
      <c r="P14" s="1130"/>
      <c r="Q14" s="1130"/>
      <c r="R14" s="1130">
        <f>IF($V$14="地形を選択","",IF(V14="","",IF(V14="","",IF(OR($BC$11=4,$BC$11=5,$BC$11=6,$BC$11=7,$BC$11=8,$BC$11=9),IF(ABS(F14)&lt;20,$BF$11,ROUNDDOWN(ABS(F14)/$BG$11,3)),IF(OR($BC$11=2,$BC$11=3),IF(ABS(F14)&lt;30,$BF$11,ROUNDDOWN(ABS(F14)/$BG$11,3)))))))</f>
      </c>
      <c r="S14" s="1130"/>
      <c r="T14" s="1130"/>
      <c r="U14" s="1130"/>
      <c r="V14" s="1127">
        <f>IF(OR($BC$11=1,F14="",J14=""),"",IF(OR($BC$11=4,$BC$11=5,$BC$11=6,$BC$11=7,$BC$11=8,$BC$11=9),INDEX($BC$23:$BD$25,$BD$11,IF(ABS(F14)&lt;20,1,2)),IF(OR($BC$11=2,$BC$11=3),INDEX($BE$22:$BF$24,$BD$11,IF(ABS(F14)&lt;30,1,2)))))</f>
      </c>
      <c r="W14" s="1128"/>
      <c r="X14" s="1128"/>
      <c r="Y14" s="1129"/>
      <c r="Z14" s="290"/>
      <c r="AA14" s="250"/>
      <c r="AB14" s="250"/>
      <c r="AC14" s="251"/>
      <c r="AD14" s="1149"/>
      <c r="AE14" s="1150"/>
      <c r="AF14" s="253"/>
      <c r="AG14" s="254"/>
      <c r="AH14" s="1149"/>
      <c r="AI14" s="1150"/>
      <c r="AJ14" s="253"/>
      <c r="AK14" s="254"/>
      <c r="AL14" s="1130">
        <f aca="true" t="shared" si="0" ref="AL14:AL28">IF(OR($BD$11=1,AT14=""),"",ABS(AD14-AH14))</f>
      </c>
      <c r="AM14" s="1130"/>
      <c r="AN14" s="1130"/>
      <c r="AO14" s="1130"/>
      <c r="AP14" s="1130">
        <f aca="true" t="shared" si="1" ref="AP14:AP28">IF($V$14="地形を選択","",IF(AT14="","",IF(AT14="","",IF(OR($BC$11=4,$BC$11=5,$BC$11=6,$BC$11=7,$BC$11=8,$BC$11=9),IF(ABS(AD14)&lt;20,$BF$11,ROUNDDOWN(ABS(AD14)/$BG$11,3)),IF(OR($BC$11=2,$BC$11=3),IF(ABS(AD14)&lt;30,$BF$11,ROUNDDOWN(ABS(AD14)/$BG$11,3)))))))</f>
      </c>
      <c r="AQ14" s="1130"/>
      <c r="AR14" s="1130"/>
      <c r="AS14" s="1130"/>
      <c r="AT14" s="1127">
        <f aca="true" t="shared" si="2" ref="AT14:AT28">IF(OR($BC$11=1,AD14="",AH14=""),"",IF(OR($BC$11=4,$BC$11=5,$BC$11=6,$BC$11=7,$BC$11=8,$BC$11=9),INDEX($BC$23:$BD$25,$BD$11,IF(ABS(AD14)&lt;20,1,2)),IF(OR($BC$11=2,$BC$11=3),INDEX($BE$22:$BF$24,$BD$11,IF(ABS(AD14)&lt;30,1,2)))))</f>
      </c>
      <c r="AU14" s="1128"/>
      <c r="AV14" s="1128"/>
      <c r="AW14" s="1129"/>
      <c r="AX14"/>
      <c r="AY14"/>
      <c r="AZ14"/>
      <c r="BA14"/>
      <c r="BB14"/>
      <c r="BC14" s="71" t="s">
        <v>395</v>
      </c>
      <c r="BD14" s="130">
        <v>3</v>
      </c>
      <c r="BE14" s="174" t="s">
        <v>22</v>
      </c>
      <c r="BF14" s="175">
        <v>0.01</v>
      </c>
      <c r="BG14" s="174">
        <v>2000</v>
      </c>
      <c r="BH14" s="38"/>
    </row>
    <row r="15" spans="2:60" s="9" customFormat="1" ht="21.75" customHeight="1">
      <c r="B15" s="288"/>
      <c r="C15" s="255"/>
      <c r="D15" s="255"/>
      <c r="E15" s="256"/>
      <c r="F15" s="1149"/>
      <c r="G15" s="1150"/>
      <c r="H15" s="253"/>
      <c r="I15" s="254"/>
      <c r="J15" s="1149"/>
      <c r="K15" s="1150"/>
      <c r="L15" s="253"/>
      <c r="M15" s="254"/>
      <c r="N15" s="1130">
        <f aca="true" t="shared" si="3" ref="N15:N28">IF(OR($BD$11=1,V15=""),"",ABS(F15-J15))</f>
      </c>
      <c r="O15" s="1130"/>
      <c r="P15" s="1130"/>
      <c r="Q15" s="1130"/>
      <c r="R15" s="1130">
        <f aca="true" t="shared" si="4" ref="R15:R28">IF($V$14="地形を選択","",IF(V15="","",IF(V15="","",IF(OR($BC$11=4,$BC$11=5,$BC$11=6,$BC$11=7,$BC$11=8,$BC$11=9),IF(ABS(F15)&lt;20,$BF$11,ROUNDDOWN(ABS(F15)/$BG$11,3)),IF(OR($BC$11=2,$BC$11=3),IF(ABS(F15)&lt;30,$BF$11,ROUNDDOWN(ABS(F15)/$BG$11,3)))))))</f>
      </c>
      <c r="S15" s="1130"/>
      <c r="T15" s="1130"/>
      <c r="U15" s="1130"/>
      <c r="V15" s="1127">
        <f aca="true" t="shared" si="5" ref="V15:V28">IF(OR($BC$11=1,F15="",J15=""),"",IF(OR($BC$11=4,$BC$11=5,$BC$11=6,$BC$11=7,$BC$11=8,$BC$11=9),INDEX($BC$23:$BD$25,$BD$11,IF(ABS(F15)&lt;20,1,2)),IF(OR($BC$11=2,$BC$11=3),INDEX($BE$22:$BF$24,$BD$11,IF(ABS(F15)&lt;30,1,2)))))</f>
      </c>
      <c r="W15" s="1128"/>
      <c r="X15" s="1128"/>
      <c r="Y15" s="1129"/>
      <c r="Z15" s="290"/>
      <c r="AA15" s="250"/>
      <c r="AB15" s="250"/>
      <c r="AC15" s="251"/>
      <c r="AD15" s="1149"/>
      <c r="AE15" s="1150"/>
      <c r="AF15" s="253"/>
      <c r="AG15" s="254"/>
      <c r="AH15" s="1149"/>
      <c r="AI15" s="1150"/>
      <c r="AJ15" s="253"/>
      <c r="AK15" s="254"/>
      <c r="AL15" s="1130">
        <f t="shared" si="0"/>
      </c>
      <c r="AM15" s="1130"/>
      <c r="AN15" s="1130"/>
      <c r="AO15" s="1130"/>
      <c r="AP15" s="1130">
        <f t="shared" si="1"/>
      </c>
      <c r="AQ15" s="1130"/>
      <c r="AR15" s="1130"/>
      <c r="AS15" s="1130"/>
      <c r="AT15" s="1127">
        <f t="shared" si="2"/>
      </c>
      <c r="AU15" s="1128"/>
      <c r="AV15" s="1128"/>
      <c r="AW15" s="1129"/>
      <c r="AX15"/>
      <c r="AY15"/>
      <c r="AZ15"/>
      <c r="BA15"/>
      <c r="BB15"/>
      <c r="BC15" s="176" t="s">
        <v>116</v>
      </c>
      <c r="BD15" s="130">
        <v>4</v>
      </c>
      <c r="BE15" s="177" t="s">
        <v>129</v>
      </c>
      <c r="BF15" s="178">
        <v>0.02</v>
      </c>
      <c r="BG15" s="177">
        <v>1000</v>
      </c>
      <c r="BH15" s="38"/>
    </row>
    <row r="16" spans="2:60" s="9" customFormat="1" ht="21.75" customHeight="1">
      <c r="B16" s="288"/>
      <c r="C16" s="255"/>
      <c r="D16" s="255"/>
      <c r="E16" s="256"/>
      <c r="F16" s="1149"/>
      <c r="G16" s="1150"/>
      <c r="H16" s="253"/>
      <c r="I16" s="254"/>
      <c r="J16" s="1149"/>
      <c r="K16" s="1150"/>
      <c r="L16" s="253"/>
      <c r="M16" s="254"/>
      <c r="N16" s="1130">
        <f t="shared" si="3"/>
      </c>
      <c r="O16" s="1130"/>
      <c r="P16" s="1130"/>
      <c r="Q16" s="1130"/>
      <c r="R16" s="1130">
        <f t="shared" si="4"/>
      </c>
      <c r="S16" s="1130"/>
      <c r="T16" s="1130"/>
      <c r="U16" s="1130"/>
      <c r="V16" s="1127">
        <f t="shared" si="5"/>
      </c>
      <c r="W16" s="1128"/>
      <c r="X16" s="1128"/>
      <c r="Y16" s="1129"/>
      <c r="Z16" s="290"/>
      <c r="AA16" s="250"/>
      <c r="AB16" s="250"/>
      <c r="AC16" s="251"/>
      <c r="AD16" s="1149"/>
      <c r="AE16" s="1150"/>
      <c r="AF16" s="253"/>
      <c r="AG16" s="254"/>
      <c r="AH16" s="1149"/>
      <c r="AI16" s="1150"/>
      <c r="AJ16" s="253"/>
      <c r="AK16" s="254"/>
      <c r="AL16" s="1130">
        <f t="shared" si="0"/>
      </c>
      <c r="AM16" s="1130"/>
      <c r="AN16" s="1130"/>
      <c r="AO16" s="1130"/>
      <c r="AP16" s="1130">
        <f t="shared" si="1"/>
      </c>
      <c r="AQ16" s="1130"/>
      <c r="AR16" s="1130"/>
      <c r="AS16" s="1130"/>
      <c r="AT16" s="1127">
        <f t="shared" si="2"/>
      </c>
      <c r="AU16" s="1128"/>
      <c r="AV16" s="1128"/>
      <c r="AW16" s="1129"/>
      <c r="AX16"/>
      <c r="AY16"/>
      <c r="AZ16"/>
      <c r="BA16"/>
      <c r="BB16"/>
      <c r="BC16" s="71" t="s">
        <v>394</v>
      </c>
      <c r="BD16" s="130">
        <v>5</v>
      </c>
      <c r="BE16" s="174" t="s">
        <v>128</v>
      </c>
      <c r="BF16" s="175">
        <v>0.01</v>
      </c>
      <c r="BG16" s="174">
        <v>3000</v>
      </c>
      <c r="BH16" s="38"/>
    </row>
    <row r="17" spans="2:60" s="9" customFormat="1" ht="21.75" customHeight="1">
      <c r="B17" s="288"/>
      <c r="C17" s="255"/>
      <c r="D17" s="255"/>
      <c r="E17" s="256"/>
      <c r="F17" s="1149"/>
      <c r="G17" s="1150"/>
      <c r="H17" s="253"/>
      <c r="I17" s="254"/>
      <c r="J17" s="1149"/>
      <c r="K17" s="1150"/>
      <c r="L17" s="253"/>
      <c r="M17" s="254"/>
      <c r="N17" s="1130">
        <f t="shared" si="3"/>
      </c>
      <c r="O17" s="1130"/>
      <c r="P17" s="1130"/>
      <c r="Q17" s="1130"/>
      <c r="R17" s="1130">
        <f t="shared" si="4"/>
      </c>
      <c r="S17" s="1130"/>
      <c r="T17" s="1130"/>
      <c r="U17" s="1130"/>
      <c r="V17" s="1127">
        <f t="shared" si="5"/>
      </c>
      <c r="W17" s="1128"/>
      <c r="X17" s="1128"/>
      <c r="Y17" s="1129"/>
      <c r="Z17" s="290"/>
      <c r="AA17" s="250"/>
      <c r="AB17" s="250"/>
      <c r="AC17" s="251"/>
      <c r="AD17" s="1149"/>
      <c r="AE17" s="1150"/>
      <c r="AF17" s="253"/>
      <c r="AG17" s="254"/>
      <c r="AH17" s="1149"/>
      <c r="AI17" s="1150"/>
      <c r="AJ17" s="253"/>
      <c r="AK17" s="254"/>
      <c r="AL17" s="1130">
        <f t="shared" si="0"/>
      </c>
      <c r="AM17" s="1130"/>
      <c r="AN17" s="1130"/>
      <c r="AO17" s="1130"/>
      <c r="AP17" s="1130">
        <f t="shared" si="1"/>
      </c>
      <c r="AQ17" s="1130"/>
      <c r="AR17" s="1130"/>
      <c r="AS17" s="1130"/>
      <c r="AT17" s="1127">
        <f t="shared" si="2"/>
      </c>
      <c r="AU17" s="1128"/>
      <c r="AV17" s="1128"/>
      <c r="AW17" s="1129"/>
      <c r="AX17"/>
      <c r="AY17"/>
      <c r="AZ17"/>
      <c r="BA17"/>
      <c r="BB17"/>
      <c r="BC17" s="71" t="s">
        <v>117</v>
      </c>
      <c r="BD17" s="130">
        <v>6</v>
      </c>
      <c r="BE17" s="177"/>
      <c r="BF17" s="178">
        <v>0.015</v>
      </c>
      <c r="BG17" s="177">
        <v>2000</v>
      </c>
      <c r="BH17" s="38"/>
    </row>
    <row r="18" spans="2:60" s="9" customFormat="1" ht="21.75" customHeight="1">
      <c r="B18" s="288"/>
      <c r="C18" s="255"/>
      <c r="D18" s="255"/>
      <c r="E18" s="256"/>
      <c r="F18" s="1149"/>
      <c r="G18" s="1150"/>
      <c r="H18" s="253"/>
      <c r="I18" s="254"/>
      <c r="J18" s="1149"/>
      <c r="K18" s="1150"/>
      <c r="L18" s="253"/>
      <c r="M18" s="254"/>
      <c r="N18" s="1130">
        <f t="shared" si="3"/>
      </c>
      <c r="O18" s="1130"/>
      <c r="P18" s="1130"/>
      <c r="Q18" s="1130"/>
      <c r="R18" s="1130">
        <f t="shared" si="4"/>
      </c>
      <c r="S18" s="1130"/>
      <c r="T18" s="1130"/>
      <c r="U18" s="1130"/>
      <c r="V18" s="1127">
        <f t="shared" si="5"/>
      </c>
      <c r="W18" s="1128"/>
      <c r="X18" s="1128"/>
      <c r="Y18" s="1129"/>
      <c r="Z18" s="290"/>
      <c r="AA18" s="250"/>
      <c r="AB18" s="250"/>
      <c r="AC18" s="251"/>
      <c r="AD18" s="1149"/>
      <c r="AE18" s="1150"/>
      <c r="AF18" s="253"/>
      <c r="AG18" s="254"/>
      <c r="AH18" s="1149"/>
      <c r="AI18" s="1150"/>
      <c r="AJ18" s="253"/>
      <c r="AK18" s="254"/>
      <c r="AL18" s="1130">
        <f t="shared" si="0"/>
      </c>
      <c r="AM18" s="1130"/>
      <c r="AN18" s="1130"/>
      <c r="AO18" s="1130"/>
      <c r="AP18" s="1130">
        <f t="shared" si="1"/>
      </c>
      <c r="AQ18" s="1130"/>
      <c r="AR18" s="1130"/>
      <c r="AS18" s="1130"/>
      <c r="AT18" s="1127">
        <f t="shared" si="2"/>
      </c>
      <c r="AU18" s="1128"/>
      <c r="AV18" s="1128"/>
      <c r="AW18" s="1129"/>
      <c r="AX18"/>
      <c r="AY18"/>
      <c r="AZ18"/>
      <c r="BA18"/>
      <c r="BB18"/>
      <c r="BC18" s="71" t="s">
        <v>118</v>
      </c>
      <c r="BD18" s="130">
        <v>7</v>
      </c>
      <c r="BE18" s="177"/>
      <c r="BF18" s="178"/>
      <c r="BG18" s="177"/>
      <c r="BH18" s="38"/>
    </row>
    <row r="19" spans="2:60" s="9" customFormat="1" ht="21.75" customHeight="1">
      <c r="B19" s="288"/>
      <c r="C19" s="255"/>
      <c r="D19" s="255"/>
      <c r="E19" s="256"/>
      <c r="F19" s="1149"/>
      <c r="G19" s="1150"/>
      <c r="H19" s="253"/>
      <c r="I19" s="254"/>
      <c r="J19" s="1149"/>
      <c r="K19" s="1150"/>
      <c r="L19" s="253"/>
      <c r="M19" s="254"/>
      <c r="N19" s="1130">
        <f t="shared" si="3"/>
      </c>
      <c r="O19" s="1130"/>
      <c r="P19" s="1130"/>
      <c r="Q19" s="1130"/>
      <c r="R19" s="1130">
        <f t="shared" si="4"/>
      </c>
      <c r="S19" s="1130"/>
      <c r="T19" s="1130"/>
      <c r="U19" s="1130"/>
      <c r="V19" s="1127">
        <f t="shared" si="5"/>
      </c>
      <c r="W19" s="1128"/>
      <c r="X19" s="1128"/>
      <c r="Y19" s="1129"/>
      <c r="Z19" s="290"/>
      <c r="AA19" s="250"/>
      <c r="AB19" s="250"/>
      <c r="AC19" s="251"/>
      <c r="AD19" s="1149"/>
      <c r="AE19" s="1150"/>
      <c r="AF19" s="253"/>
      <c r="AG19" s="254"/>
      <c r="AH19" s="1149"/>
      <c r="AI19" s="1150"/>
      <c r="AJ19" s="253"/>
      <c r="AK19" s="254"/>
      <c r="AL19" s="1130">
        <f t="shared" si="0"/>
      </c>
      <c r="AM19" s="1130"/>
      <c r="AN19" s="1130"/>
      <c r="AO19" s="1130"/>
      <c r="AP19" s="1130">
        <f t="shared" si="1"/>
      </c>
      <c r="AQ19" s="1130"/>
      <c r="AR19" s="1130"/>
      <c r="AS19" s="1130"/>
      <c r="AT19" s="1127">
        <f t="shared" si="2"/>
      </c>
      <c r="AU19" s="1128"/>
      <c r="AV19" s="1128"/>
      <c r="AW19" s="1129"/>
      <c r="AX19"/>
      <c r="AY19"/>
      <c r="AZ19"/>
      <c r="BA19"/>
      <c r="BB19"/>
      <c r="BC19" s="71" t="s">
        <v>25</v>
      </c>
      <c r="BD19" s="130">
        <v>8</v>
      </c>
      <c r="BE19" s="174"/>
      <c r="BF19" s="175"/>
      <c r="BG19" s="174"/>
      <c r="BH19" s="38"/>
    </row>
    <row r="20" spans="2:60" s="9" customFormat="1" ht="21.75" customHeight="1">
      <c r="B20" s="288"/>
      <c r="C20" s="255"/>
      <c r="D20" s="255"/>
      <c r="E20" s="256"/>
      <c r="F20" s="1149"/>
      <c r="G20" s="1150"/>
      <c r="H20" s="253"/>
      <c r="I20" s="254"/>
      <c r="J20" s="1149"/>
      <c r="K20" s="1150"/>
      <c r="L20" s="253"/>
      <c r="M20" s="254"/>
      <c r="N20" s="1130">
        <f t="shared" si="3"/>
      </c>
      <c r="O20" s="1130"/>
      <c r="P20" s="1130"/>
      <c r="Q20" s="1130"/>
      <c r="R20" s="1130">
        <f t="shared" si="4"/>
      </c>
      <c r="S20" s="1130"/>
      <c r="T20" s="1130"/>
      <c r="U20" s="1130"/>
      <c r="V20" s="1127">
        <f t="shared" si="5"/>
      </c>
      <c r="W20" s="1128"/>
      <c r="X20" s="1128"/>
      <c r="Y20" s="1129"/>
      <c r="Z20" s="290"/>
      <c r="AA20" s="250"/>
      <c r="AB20" s="250"/>
      <c r="AC20" s="251"/>
      <c r="AD20" s="1149"/>
      <c r="AE20" s="1150"/>
      <c r="AF20" s="253"/>
      <c r="AG20" s="254"/>
      <c r="AH20" s="1149"/>
      <c r="AI20" s="1150"/>
      <c r="AJ20" s="253"/>
      <c r="AK20" s="254"/>
      <c r="AL20" s="1130">
        <f t="shared" si="0"/>
      </c>
      <c r="AM20" s="1130"/>
      <c r="AN20" s="1130"/>
      <c r="AO20" s="1130"/>
      <c r="AP20" s="1130">
        <f t="shared" si="1"/>
      </c>
      <c r="AQ20" s="1130"/>
      <c r="AR20" s="1130"/>
      <c r="AS20" s="1130"/>
      <c r="AT20" s="1127">
        <f t="shared" si="2"/>
      </c>
      <c r="AU20" s="1128"/>
      <c r="AV20" s="1128"/>
      <c r="AW20" s="1129"/>
      <c r="AX20"/>
      <c r="AY20"/>
      <c r="AZ20"/>
      <c r="BA20"/>
      <c r="BB20"/>
      <c r="BC20" s="132" t="s">
        <v>130</v>
      </c>
      <c r="BD20" s="131">
        <v>9</v>
      </c>
      <c r="BE20" s="179"/>
      <c r="BF20" s="180"/>
      <c r="BG20" s="179"/>
      <c r="BH20" s="38"/>
    </row>
    <row r="21" spans="2:60" s="9" customFormat="1" ht="21.75" customHeight="1">
      <c r="B21" s="288"/>
      <c r="C21" s="255"/>
      <c r="D21" s="255"/>
      <c r="E21" s="256"/>
      <c r="F21" s="1149"/>
      <c r="G21" s="1150"/>
      <c r="H21" s="253"/>
      <c r="I21" s="254"/>
      <c r="J21" s="1149"/>
      <c r="K21" s="1150"/>
      <c r="L21" s="253"/>
      <c r="M21" s="254"/>
      <c r="N21" s="1130">
        <f t="shared" si="3"/>
      </c>
      <c r="O21" s="1130"/>
      <c r="P21" s="1130"/>
      <c r="Q21" s="1130"/>
      <c r="R21" s="1130">
        <f t="shared" si="4"/>
      </c>
      <c r="S21" s="1130"/>
      <c r="T21" s="1130"/>
      <c r="U21" s="1130"/>
      <c r="V21" s="1127">
        <f t="shared" si="5"/>
      </c>
      <c r="W21" s="1128"/>
      <c r="X21" s="1128"/>
      <c r="Y21" s="1129"/>
      <c r="Z21" s="290"/>
      <c r="AA21" s="250"/>
      <c r="AB21" s="250"/>
      <c r="AC21" s="251"/>
      <c r="AD21" s="1149"/>
      <c r="AE21" s="1150"/>
      <c r="AF21" s="253"/>
      <c r="AG21" s="254"/>
      <c r="AH21" s="1149"/>
      <c r="AI21" s="1150"/>
      <c r="AJ21" s="253"/>
      <c r="AK21" s="254"/>
      <c r="AL21" s="1130">
        <f t="shared" si="0"/>
      </c>
      <c r="AM21" s="1130"/>
      <c r="AN21" s="1130"/>
      <c r="AO21" s="1130"/>
      <c r="AP21" s="1130">
        <f t="shared" si="1"/>
      </c>
      <c r="AQ21" s="1130"/>
      <c r="AR21" s="1130"/>
      <c r="AS21" s="1130"/>
      <c r="AT21" s="1127">
        <f t="shared" si="2"/>
      </c>
      <c r="AU21" s="1128"/>
      <c r="AV21" s="1128"/>
      <c r="AW21" s="1129"/>
      <c r="AX21"/>
      <c r="AY21"/>
      <c r="AZ21"/>
      <c r="BA21"/>
      <c r="BB21"/>
      <c r="BE21" s="180"/>
      <c r="BF21" s="180"/>
      <c r="BG21" s="177"/>
      <c r="BH21" s="38"/>
    </row>
    <row r="22" spans="2:60" s="9" customFormat="1" ht="21.75" customHeight="1">
      <c r="B22" s="288"/>
      <c r="C22" s="255"/>
      <c r="D22" s="255"/>
      <c r="E22" s="256"/>
      <c r="F22" s="1149"/>
      <c r="G22" s="1150"/>
      <c r="H22" s="253"/>
      <c r="I22" s="254"/>
      <c r="J22" s="1149"/>
      <c r="K22" s="1150"/>
      <c r="L22" s="253"/>
      <c r="M22" s="254"/>
      <c r="N22" s="1130">
        <f t="shared" si="3"/>
      </c>
      <c r="O22" s="1130"/>
      <c r="P22" s="1130"/>
      <c r="Q22" s="1130"/>
      <c r="R22" s="1130">
        <f t="shared" si="4"/>
      </c>
      <c r="S22" s="1130"/>
      <c r="T22" s="1130"/>
      <c r="U22" s="1130"/>
      <c r="V22" s="1127">
        <f t="shared" si="5"/>
      </c>
      <c r="W22" s="1128"/>
      <c r="X22" s="1128"/>
      <c r="Y22" s="1129"/>
      <c r="Z22" s="290"/>
      <c r="AA22" s="250"/>
      <c r="AB22" s="250"/>
      <c r="AC22" s="251"/>
      <c r="AD22" s="1149"/>
      <c r="AE22" s="1150"/>
      <c r="AF22" s="253"/>
      <c r="AG22" s="254"/>
      <c r="AH22" s="1149"/>
      <c r="AI22" s="1150"/>
      <c r="AJ22" s="253"/>
      <c r="AK22" s="254"/>
      <c r="AL22" s="1130">
        <f t="shared" si="0"/>
      </c>
      <c r="AM22" s="1130"/>
      <c r="AN22" s="1130"/>
      <c r="AO22" s="1130"/>
      <c r="AP22" s="1130">
        <f t="shared" si="1"/>
      </c>
      <c r="AQ22" s="1130"/>
      <c r="AR22" s="1130"/>
      <c r="AS22" s="1130"/>
      <c r="AT22" s="1127">
        <f t="shared" si="2"/>
      </c>
      <c r="AU22" s="1128"/>
      <c r="AV22" s="1128"/>
      <c r="AW22" s="1129"/>
      <c r="AX22"/>
      <c r="AY22"/>
      <c r="AZ22"/>
      <c r="BA22"/>
      <c r="BB22"/>
      <c r="BC22" s="170"/>
      <c r="BD22" s="170"/>
      <c r="BE22" s="70" t="s">
        <v>391</v>
      </c>
      <c r="BF22" s="129" t="s">
        <v>391</v>
      </c>
      <c r="BG22" s="170"/>
      <c r="BH22" s="18"/>
    </row>
    <row r="23" spans="2:60" s="9" customFormat="1" ht="21.75" customHeight="1">
      <c r="B23" s="288"/>
      <c r="C23" s="255"/>
      <c r="D23" s="255"/>
      <c r="E23" s="256"/>
      <c r="F23" s="1149"/>
      <c r="G23" s="1150"/>
      <c r="H23" s="253"/>
      <c r="I23" s="254"/>
      <c r="J23" s="1149"/>
      <c r="K23" s="1150"/>
      <c r="L23" s="253"/>
      <c r="M23" s="254"/>
      <c r="N23" s="1130">
        <f t="shared" si="3"/>
      </c>
      <c r="O23" s="1130"/>
      <c r="P23" s="1130"/>
      <c r="Q23" s="1130"/>
      <c r="R23" s="1130">
        <f t="shared" si="4"/>
      </c>
      <c r="S23" s="1130"/>
      <c r="T23" s="1130"/>
      <c r="U23" s="1130"/>
      <c r="V23" s="1127">
        <f t="shared" si="5"/>
      </c>
      <c r="W23" s="1128"/>
      <c r="X23" s="1128"/>
      <c r="Y23" s="1129"/>
      <c r="Z23" s="290"/>
      <c r="AA23" s="250"/>
      <c r="AB23" s="250"/>
      <c r="AC23" s="251"/>
      <c r="AD23" s="1149"/>
      <c r="AE23" s="1150"/>
      <c r="AF23" s="253"/>
      <c r="AG23" s="254"/>
      <c r="AH23" s="1149"/>
      <c r="AI23" s="1150"/>
      <c r="AJ23" s="253"/>
      <c r="AK23" s="254"/>
      <c r="AL23" s="1130">
        <f t="shared" si="0"/>
      </c>
      <c r="AM23" s="1130"/>
      <c r="AN23" s="1130"/>
      <c r="AO23" s="1130"/>
      <c r="AP23" s="1130">
        <f t="shared" si="1"/>
      </c>
      <c r="AQ23" s="1130"/>
      <c r="AR23" s="1130"/>
      <c r="AS23" s="1130"/>
      <c r="AT23" s="1127">
        <f t="shared" si="2"/>
      </c>
      <c r="AU23" s="1128"/>
      <c r="AV23" s="1128"/>
      <c r="AW23" s="1129"/>
      <c r="AX23"/>
      <c r="AY23"/>
      <c r="AZ23"/>
      <c r="BA23"/>
      <c r="BB23"/>
      <c r="BC23" s="70" t="s">
        <v>391</v>
      </c>
      <c r="BD23" s="129" t="s">
        <v>392</v>
      </c>
      <c r="BE23" s="71" t="s">
        <v>311</v>
      </c>
      <c r="BF23" s="130" t="s">
        <v>312</v>
      </c>
      <c r="BG23" s="170"/>
      <c r="BH23" s="18"/>
    </row>
    <row r="24" spans="2:60" s="9" customFormat="1" ht="21.75" customHeight="1">
      <c r="B24" s="288"/>
      <c r="C24" s="255"/>
      <c r="D24" s="255"/>
      <c r="E24" s="256"/>
      <c r="F24" s="1149"/>
      <c r="G24" s="1150"/>
      <c r="H24" s="253"/>
      <c r="I24" s="254"/>
      <c r="J24" s="1149"/>
      <c r="K24" s="1150"/>
      <c r="L24" s="253"/>
      <c r="M24" s="254"/>
      <c r="N24" s="1130">
        <f t="shared" si="3"/>
      </c>
      <c r="O24" s="1130"/>
      <c r="P24" s="1130"/>
      <c r="Q24" s="1130"/>
      <c r="R24" s="1130">
        <f t="shared" si="4"/>
      </c>
      <c r="S24" s="1130"/>
      <c r="T24" s="1130"/>
      <c r="U24" s="1130"/>
      <c r="V24" s="1127">
        <f t="shared" si="5"/>
      </c>
      <c r="W24" s="1128"/>
      <c r="X24" s="1128"/>
      <c r="Y24" s="1129"/>
      <c r="Z24" s="290"/>
      <c r="AA24" s="250"/>
      <c r="AB24" s="250"/>
      <c r="AC24" s="251"/>
      <c r="AD24" s="1149"/>
      <c r="AE24" s="1150"/>
      <c r="AF24" s="253"/>
      <c r="AG24" s="254"/>
      <c r="AH24" s="1149"/>
      <c r="AI24" s="1150"/>
      <c r="AJ24" s="253"/>
      <c r="AK24" s="254"/>
      <c r="AL24" s="1130">
        <f t="shared" si="0"/>
      </c>
      <c r="AM24" s="1130"/>
      <c r="AN24" s="1130"/>
      <c r="AO24" s="1130"/>
      <c r="AP24" s="1130">
        <f t="shared" si="1"/>
      </c>
      <c r="AQ24" s="1130"/>
      <c r="AR24" s="1130"/>
      <c r="AS24" s="1130"/>
      <c r="AT24" s="1127">
        <f t="shared" si="2"/>
      </c>
      <c r="AU24" s="1128"/>
      <c r="AV24" s="1128"/>
      <c r="AW24" s="1129"/>
      <c r="AX24"/>
      <c r="AY24"/>
      <c r="AZ24"/>
      <c r="BA24"/>
      <c r="BB24"/>
      <c r="BC24" s="71" t="s">
        <v>311</v>
      </c>
      <c r="BD24" s="130" t="s">
        <v>316</v>
      </c>
      <c r="BE24" s="132" t="s">
        <v>313</v>
      </c>
      <c r="BF24" s="131" t="s">
        <v>314</v>
      </c>
      <c r="BG24" s="170"/>
      <c r="BH24" s="18"/>
    </row>
    <row r="25" spans="2:60" s="9" customFormat="1" ht="21.75" customHeight="1">
      <c r="B25" s="288"/>
      <c r="C25" s="255"/>
      <c r="D25" s="255"/>
      <c r="E25" s="256"/>
      <c r="F25" s="1149"/>
      <c r="G25" s="1150"/>
      <c r="H25" s="253"/>
      <c r="I25" s="254"/>
      <c r="J25" s="1149"/>
      <c r="K25" s="1150"/>
      <c r="L25" s="253"/>
      <c r="M25" s="254"/>
      <c r="N25" s="1130">
        <f t="shared" si="3"/>
      </c>
      <c r="O25" s="1130"/>
      <c r="P25" s="1130"/>
      <c r="Q25" s="1130"/>
      <c r="R25" s="1130">
        <f t="shared" si="4"/>
      </c>
      <c r="S25" s="1130"/>
      <c r="T25" s="1130"/>
      <c r="U25" s="1130"/>
      <c r="V25" s="1127">
        <f t="shared" si="5"/>
      </c>
      <c r="W25" s="1128"/>
      <c r="X25" s="1128"/>
      <c r="Y25" s="1129"/>
      <c r="Z25" s="290"/>
      <c r="AA25" s="250"/>
      <c r="AB25" s="250"/>
      <c r="AC25" s="251"/>
      <c r="AD25" s="1149"/>
      <c r="AE25" s="1150"/>
      <c r="AF25" s="253"/>
      <c r="AG25" s="254"/>
      <c r="AH25" s="1149"/>
      <c r="AI25" s="1150"/>
      <c r="AJ25" s="253"/>
      <c r="AK25" s="254"/>
      <c r="AL25" s="1130">
        <f t="shared" si="0"/>
      </c>
      <c r="AM25" s="1130"/>
      <c r="AN25" s="1130"/>
      <c r="AO25" s="1130"/>
      <c r="AP25" s="1130">
        <f t="shared" si="1"/>
      </c>
      <c r="AQ25" s="1130"/>
      <c r="AR25" s="1130"/>
      <c r="AS25" s="1130"/>
      <c r="AT25" s="1127">
        <f t="shared" si="2"/>
      </c>
      <c r="AU25" s="1128"/>
      <c r="AV25" s="1128"/>
      <c r="AW25" s="1129"/>
      <c r="AX25"/>
      <c r="AY25"/>
      <c r="AZ25"/>
      <c r="BA25"/>
      <c r="BB25"/>
      <c r="BC25" s="132" t="s">
        <v>315</v>
      </c>
      <c r="BD25" s="131" t="s">
        <v>317</v>
      </c>
      <c r="BE25" s="70"/>
      <c r="BF25" s="129"/>
      <c r="BG25" s="170"/>
      <c r="BH25" s="18"/>
    </row>
    <row r="26" spans="2:59" s="9" customFormat="1" ht="21.75" customHeight="1">
      <c r="B26" s="288"/>
      <c r="C26" s="255"/>
      <c r="D26" s="255"/>
      <c r="E26" s="256"/>
      <c r="F26" s="1149"/>
      <c r="G26" s="1150"/>
      <c r="H26" s="253"/>
      <c r="I26" s="254"/>
      <c r="J26" s="1149"/>
      <c r="K26" s="1150"/>
      <c r="L26" s="253"/>
      <c r="M26" s="254"/>
      <c r="N26" s="1130">
        <f t="shared" si="3"/>
      </c>
      <c r="O26" s="1130"/>
      <c r="P26" s="1130"/>
      <c r="Q26" s="1130"/>
      <c r="R26" s="1130">
        <f t="shared" si="4"/>
      </c>
      <c r="S26" s="1130"/>
      <c r="T26" s="1130"/>
      <c r="U26" s="1130"/>
      <c r="V26" s="1127">
        <f t="shared" si="5"/>
      </c>
      <c r="W26" s="1128"/>
      <c r="X26" s="1128"/>
      <c r="Y26" s="1129"/>
      <c r="Z26" s="290"/>
      <c r="AA26" s="250"/>
      <c r="AB26" s="250"/>
      <c r="AC26" s="251"/>
      <c r="AD26" s="1149"/>
      <c r="AE26" s="1150"/>
      <c r="AF26" s="253"/>
      <c r="AG26" s="254"/>
      <c r="AH26" s="1149"/>
      <c r="AI26" s="1150"/>
      <c r="AJ26" s="253"/>
      <c r="AK26" s="254"/>
      <c r="AL26" s="1130">
        <f t="shared" si="0"/>
      </c>
      <c r="AM26" s="1130"/>
      <c r="AN26" s="1130"/>
      <c r="AO26" s="1130"/>
      <c r="AP26" s="1130">
        <f t="shared" si="1"/>
      </c>
      <c r="AQ26" s="1130"/>
      <c r="AR26" s="1130"/>
      <c r="AS26" s="1130"/>
      <c r="AT26" s="1127">
        <f t="shared" si="2"/>
      </c>
      <c r="AU26" s="1128"/>
      <c r="AV26" s="1128"/>
      <c r="AW26" s="1129"/>
      <c r="AX26"/>
      <c r="AY26"/>
      <c r="AZ26"/>
      <c r="BA26"/>
      <c r="BB26"/>
      <c r="BC26" s="73" t="str">
        <f>$U$5&amp;"を選択してください"</f>
        <v>地形を選択してください</v>
      </c>
      <c r="BD26" s="70"/>
      <c r="BE26" s="71"/>
      <c r="BF26" s="130"/>
      <c r="BG26" s="170"/>
    </row>
    <row r="27" spans="2:59" s="9" customFormat="1" ht="21.75" customHeight="1">
      <c r="B27" s="289"/>
      <c r="C27" s="248"/>
      <c r="D27" s="248"/>
      <c r="E27" s="249"/>
      <c r="F27" s="252"/>
      <c r="G27" s="253"/>
      <c r="H27" s="253"/>
      <c r="I27" s="254"/>
      <c r="J27" s="252"/>
      <c r="K27" s="253"/>
      <c r="L27" s="253"/>
      <c r="M27" s="254"/>
      <c r="N27" s="1130">
        <f t="shared" si="3"/>
      </c>
      <c r="O27" s="1130"/>
      <c r="P27" s="1130"/>
      <c r="Q27" s="1130"/>
      <c r="R27" s="1130">
        <f t="shared" si="4"/>
      </c>
      <c r="S27" s="1130"/>
      <c r="T27" s="1130"/>
      <c r="U27" s="1130"/>
      <c r="V27" s="1127">
        <f t="shared" si="5"/>
      </c>
      <c r="W27" s="1128"/>
      <c r="X27" s="1128"/>
      <c r="Y27" s="1129"/>
      <c r="Z27" s="290"/>
      <c r="AA27" s="250"/>
      <c r="AB27" s="250"/>
      <c r="AC27" s="251"/>
      <c r="AD27" s="252"/>
      <c r="AE27" s="253"/>
      <c r="AF27" s="253"/>
      <c r="AG27" s="254"/>
      <c r="AH27" s="252"/>
      <c r="AI27" s="253"/>
      <c r="AJ27" s="253"/>
      <c r="AK27" s="254"/>
      <c r="AL27" s="1130">
        <f t="shared" si="0"/>
      </c>
      <c r="AM27" s="1130"/>
      <c r="AN27" s="1130"/>
      <c r="AO27" s="1130"/>
      <c r="AP27" s="1130">
        <f t="shared" si="1"/>
      </c>
      <c r="AQ27" s="1130"/>
      <c r="AR27" s="1130"/>
      <c r="AS27" s="1130"/>
      <c r="AT27" s="1127">
        <f t="shared" si="2"/>
      </c>
      <c r="AU27" s="1128"/>
      <c r="AV27" s="1128"/>
      <c r="AW27" s="1129"/>
      <c r="AX27"/>
      <c r="AY27"/>
      <c r="AZ27"/>
      <c r="BA27"/>
      <c r="BB27"/>
      <c r="BC27" s="74" t="s">
        <v>60</v>
      </c>
      <c r="BD27" s="180"/>
      <c r="BE27" s="71"/>
      <c r="BF27" s="130"/>
      <c r="BG27" s="170"/>
    </row>
    <row r="28" spans="1:59" s="9" customFormat="1" ht="21.75" customHeight="1">
      <c r="A28" s="4"/>
      <c r="B28" s="288"/>
      <c r="C28" s="255"/>
      <c r="D28" s="255"/>
      <c r="E28" s="256"/>
      <c r="F28" s="252"/>
      <c r="G28" s="253"/>
      <c r="H28" s="253"/>
      <c r="I28" s="254"/>
      <c r="J28" s="252"/>
      <c r="K28" s="253"/>
      <c r="L28" s="253"/>
      <c r="M28" s="254"/>
      <c r="N28" s="1130">
        <f t="shared" si="3"/>
      </c>
      <c r="O28" s="1130"/>
      <c r="P28" s="1130"/>
      <c r="Q28" s="1130"/>
      <c r="R28" s="1130">
        <f t="shared" si="4"/>
      </c>
      <c r="S28" s="1130"/>
      <c r="T28" s="1130"/>
      <c r="U28" s="1130"/>
      <c r="V28" s="1127">
        <f t="shared" si="5"/>
      </c>
      <c r="W28" s="1128"/>
      <c r="X28" s="1128"/>
      <c r="Y28" s="1129"/>
      <c r="Z28" s="290"/>
      <c r="AA28" s="250"/>
      <c r="AB28" s="250"/>
      <c r="AC28" s="251"/>
      <c r="AD28" s="252"/>
      <c r="AE28" s="253"/>
      <c r="AF28" s="253"/>
      <c r="AG28" s="254"/>
      <c r="AH28" s="252"/>
      <c r="AI28" s="253"/>
      <c r="AJ28" s="253"/>
      <c r="AK28" s="254"/>
      <c r="AL28" s="1130">
        <f t="shared" si="0"/>
      </c>
      <c r="AM28" s="1130"/>
      <c r="AN28" s="1130"/>
      <c r="AO28" s="1130"/>
      <c r="AP28" s="1130">
        <f t="shared" si="1"/>
      </c>
      <c r="AQ28" s="1130"/>
      <c r="AR28" s="1130"/>
      <c r="AS28" s="1130"/>
      <c r="AT28" s="1127">
        <f t="shared" si="2"/>
      </c>
      <c r="AU28" s="1128"/>
      <c r="AV28" s="1128"/>
      <c r="AW28" s="1129"/>
      <c r="AX28"/>
      <c r="AY28"/>
      <c r="AZ28"/>
      <c r="BA28"/>
      <c r="BB28"/>
      <c r="BC28" s="75" t="s">
        <v>61</v>
      </c>
      <c r="BD28" s="180"/>
      <c r="BE28" s="188"/>
      <c r="BF28" s="131"/>
      <c r="BG28" s="170"/>
    </row>
    <row r="29" spans="55:60" ht="13.5">
      <c r="BC29" s="170"/>
      <c r="BD29" s="178"/>
      <c r="BH29"/>
    </row>
    <row r="30" spans="55:60" ht="12.75">
      <c r="BC30" s="69"/>
      <c r="BD30" s="170"/>
      <c r="BH30" s="38"/>
    </row>
    <row r="31" spans="2:60" ht="15.75">
      <c r="B31" s="296" t="s">
        <v>0</v>
      </c>
      <c r="BC31" s="170"/>
      <c r="BH31" s="38"/>
    </row>
    <row r="32" ht="15.75">
      <c r="B32" s="296" t="s">
        <v>1</v>
      </c>
    </row>
    <row r="33" ht="15.75">
      <c r="B33" s="301" t="s">
        <v>13</v>
      </c>
    </row>
    <row r="34" ht="15.75">
      <c r="B34" s="302" t="s">
        <v>14</v>
      </c>
    </row>
  </sheetData>
  <sheetProtection formatCells="0"/>
  <mergeCells count="189">
    <mergeCell ref="AH23:AI23"/>
    <mergeCell ref="AH24:AI24"/>
    <mergeCell ref="AH26:AI26"/>
    <mergeCell ref="AH25:AI25"/>
    <mergeCell ref="AD26:AE26"/>
    <mergeCell ref="AH14:AI14"/>
    <mergeCell ref="AH15:AI15"/>
    <mergeCell ref="AH16:AI16"/>
    <mergeCell ref="AH17:AI17"/>
    <mergeCell ref="AH18:AI18"/>
    <mergeCell ref="AH19:AI19"/>
    <mergeCell ref="AH20:AI20"/>
    <mergeCell ref="AH21:AI21"/>
    <mergeCell ref="AH22:AI22"/>
    <mergeCell ref="AD22:AE22"/>
    <mergeCell ref="AD23:AE23"/>
    <mergeCell ref="AD24:AE24"/>
    <mergeCell ref="AD25:AE25"/>
    <mergeCell ref="AD18:AE18"/>
    <mergeCell ref="AD19:AE19"/>
    <mergeCell ref="AD20:AE20"/>
    <mergeCell ref="AD21:AE21"/>
    <mergeCell ref="AD14:AE14"/>
    <mergeCell ref="AD15:AE15"/>
    <mergeCell ref="AD16:AE16"/>
    <mergeCell ref="AD17:AE17"/>
    <mergeCell ref="J23:K23"/>
    <mergeCell ref="J24:K24"/>
    <mergeCell ref="J25:K25"/>
    <mergeCell ref="J26:K26"/>
    <mergeCell ref="F26:G26"/>
    <mergeCell ref="J14:K14"/>
    <mergeCell ref="J15:K15"/>
    <mergeCell ref="J16:K16"/>
    <mergeCell ref="J17:K17"/>
    <mergeCell ref="J18:K18"/>
    <mergeCell ref="J19:K19"/>
    <mergeCell ref="J20:K20"/>
    <mergeCell ref="J21:K21"/>
    <mergeCell ref="J22:K22"/>
    <mergeCell ref="F22:G22"/>
    <mergeCell ref="F23:G23"/>
    <mergeCell ref="F24:G24"/>
    <mergeCell ref="F25:G25"/>
    <mergeCell ref="F18:G18"/>
    <mergeCell ref="F19:G19"/>
    <mergeCell ref="F20:G20"/>
    <mergeCell ref="F21:G21"/>
    <mergeCell ref="F14:G14"/>
    <mergeCell ref="F15:G15"/>
    <mergeCell ref="F16:G16"/>
    <mergeCell ref="F17:G17"/>
    <mergeCell ref="AP13:AS13"/>
    <mergeCell ref="W9:Y9"/>
    <mergeCell ref="Z12:AC13"/>
    <mergeCell ref="F2:AW2"/>
    <mergeCell ref="B6:AM6"/>
    <mergeCell ref="B4:AM4"/>
    <mergeCell ref="AN4:AW6"/>
    <mergeCell ref="B2:E2"/>
    <mergeCell ref="AL13:AO13"/>
    <mergeCell ref="B12:E13"/>
    <mergeCell ref="B1:AW1"/>
    <mergeCell ref="B11:AW11"/>
    <mergeCell ref="P9:V9"/>
    <mergeCell ref="P10:V10"/>
    <mergeCell ref="Z9:AE9"/>
    <mergeCell ref="W10:Y10"/>
    <mergeCell ref="Y5:AM5"/>
    <mergeCell ref="B8:AW8"/>
    <mergeCell ref="B10:D10"/>
    <mergeCell ref="E10:L10"/>
    <mergeCell ref="AT18:AW18"/>
    <mergeCell ref="AD13:AG13"/>
    <mergeCell ref="Z10:AE10"/>
    <mergeCell ref="AF10:AH10"/>
    <mergeCell ref="AT14:AW14"/>
    <mergeCell ref="AT15:AW15"/>
    <mergeCell ref="AT16:AW16"/>
    <mergeCell ref="AD12:AS12"/>
    <mergeCell ref="AT12:AW13"/>
    <mergeCell ref="AT17:AW17"/>
    <mergeCell ref="AT28:AW28"/>
    <mergeCell ref="AL14:AO14"/>
    <mergeCell ref="AL21:AO21"/>
    <mergeCell ref="AL22:AO22"/>
    <mergeCell ref="AL28:AO28"/>
    <mergeCell ref="AP16:AS16"/>
    <mergeCell ref="AT24:AW24"/>
    <mergeCell ref="AT25:AW25"/>
    <mergeCell ref="AP14:AS14"/>
    <mergeCell ref="AP15:AS15"/>
    <mergeCell ref="N16:Q16"/>
    <mergeCell ref="AF9:AH9"/>
    <mergeCell ref="R13:U13"/>
    <mergeCell ref="V14:Y14"/>
    <mergeCell ref="V15:Y15"/>
    <mergeCell ref="V12:Y13"/>
    <mergeCell ref="AH13:AK13"/>
    <mergeCell ref="F12:U12"/>
    <mergeCell ref="E9:L9"/>
    <mergeCell ref="M9:O9"/>
    <mergeCell ref="M10:O10"/>
    <mergeCell ref="B9:D9"/>
    <mergeCell ref="N13:Q13"/>
    <mergeCell ref="J13:M13"/>
    <mergeCell ref="F13:I13"/>
    <mergeCell ref="V22:Y22"/>
    <mergeCell ref="R24:U24"/>
    <mergeCell ref="V20:Y20"/>
    <mergeCell ref="R20:U20"/>
    <mergeCell ref="R22:U22"/>
    <mergeCell ref="V21:Y21"/>
    <mergeCell ref="R21:U21"/>
    <mergeCell ref="R19:U19"/>
    <mergeCell ref="R23:U23"/>
    <mergeCell ref="N14:Q14"/>
    <mergeCell ref="N27:Q27"/>
    <mergeCell ref="R14:U14"/>
    <mergeCell ref="R15:U15"/>
    <mergeCell ref="N19:Q19"/>
    <mergeCell ref="N18:Q18"/>
    <mergeCell ref="N17:Q17"/>
    <mergeCell ref="N15:Q15"/>
    <mergeCell ref="N20:Q20"/>
    <mergeCell ref="N23:Q23"/>
    <mergeCell ref="N24:Q24"/>
    <mergeCell ref="N26:Q26"/>
    <mergeCell ref="N21:Q21"/>
    <mergeCell ref="N22:Q22"/>
    <mergeCell ref="N28:Q28"/>
    <mergeCell ref="N25:Q25"/>
    <mergeCell ref="R25:U25"/>
    <mergeCell ref="R27:U27"/>
    <mergeCell ref="R28:U28"/>
    <mergeCell ref="R26:U26"/>
    <mergeCell ref="V28:Y28"/>
    <mergeCell ref="V23:Y23"/>
    <mergeCell ref="V24:Y24"/>
    <mergeCell ref="V25:Y25"/>
    <mergeCell ref="V26:Y26"/>
    <mergeCell ref="V27:Y27"/>
    <mergeCell ref="AL19:AO19"/>
    <mergeCell ref="AL20:AO20"/>
    <mergeCell ref="AL27:AO27"/>
    <mergeCell ref="AP17:AS17"/>
    <mergeCell ref="AP18:AS18"/>
    <mergeCell ref="AP22:AS22"/>
    <mergeCell ref="AT23:AW23"/>
    <mergeCell ref="AP21:AS21"/>
    <mergeCell ref="AT19:AW19"/>
    <mergeCell ref="AT20:AW20"/>
    <mergeCell ref="AP28:AS28"/>
    <mergeCell ref="AP27:AS27"/>
    <mergeCell ref="AL26:AO26"/>
    <mergeCell ref="AL23:AO23"/>
    <mergeCell ref="AL24:AO24"/>
    <mergeCell ref="AL25:AO25"/>
    <mergeCell ref="AP23:AS23"/>
    <mergeCell ref="AL15:AO15"/>
    <mergeCell ref="AL16:AO16"/>
    <mergeCell ref="AL17:AO17"/>
    <mergeCell ref="R18:U18"/>
    <mergeCell ref="V18:Y18"/>
    <mergeCell ref="AL18:AO18"/>
    <mergeCell ref="R17:U17"/>
    <mergeCell ref="V17:Y17"/>
    <mergeCell ref="V16:Y16"/>
    <mergeCell ref="R16:U16"/>
    <mergeCell ref="V19:Y19"/>
    <mergeCell ref="AT26:AW26"/>
    <mergeCell ref="AT27:AW27"/>
    <mergeCell ref="AP24:AS24"/>
    <mergeCell ref="AP25:AS25"/>
    <mergeCell ref="AP26:AS26"/>
    <mergeCell ref="AT21:AW21"/>
    <mergeCell ref="AT22:AW22"/>
    <mergeCell ref="AP19:AS19"/>
    <mergeCell ref="AP20:AS20"/>
    <mergeCell ref="B7:AW7"/>
    <mergeCell ref="B5:E5"/>
    <mergeCell ref="B3:AW3"/>
    <mergeCell ref="F5:T5"/>
    <mergeCell ref="U5:X5"/>
    <mergeCell ref="AQ10:AR10"/>
    <mergeCell ref="AL10:AO10"/>
    <mergeCell ref="AS9:AV9"/>
    <mergeCell ref="AQ9:AR9"/>
    <mergeCell ref="AL9:AP9"/>
  </mergeCells>
  <conditionalFormatting sqref="N14:Q28 AL14:AO28">
    <cfRule type="cellIs" priority="1" dxfId="4" operator="greaterThan" stopIfTrue="1">
      <formula>R14</formula>
    </cfRule>
  </conditionalFormatting>
  <conditionalFormatting sqref="F5">
    <cfRule type="cellIs" priority="2" dxfId="4" operator="equal" stopIfTrue="1">
      <formula>$BC$12</formula>
    </cfRule>
  </conditionalFormatting>
  <conditionalFormatting sqref="Y5:AM5">
    <cfRule type="expression" priority="3" dxfId="13" stopIfTrue="1">
      <formula>AND($BC$11&lt;8,$BD$11=4)</formula>
    </cfRule>
    <cfRule type="cellIs" priority="4" dxfId="6" operator="equal" stopIfTrue="1">
      <formula>$BC$26</formula>
    </cfRule>
  </conditionalFormatting>
  <conditionalFormatting sqref="V14:Y28 AT14:AW28">
    <cfRule type="cellIs" priority="5" dxfId="4" operator="equal" stopIfTrue="1">
      <formula>"地形を選択"</formula>
    </cfRule>
  </conditionalFormatting>
  <dataValidations count="3">
    <dataValidation allowBlank="1" showInputMessage="1" showErrorMessage="1" imeMode="off" sqref="AH14:AH28 AD14:AD28 F14:M28"/>
    <dataValidation type="list" allowBlank="1" showInputMessage="1" showErrorMessage="1" sqref="F5:T5">
      <formula1>$BC$12:$BC$20</formula1>
    </dataValidation>
    <dataValidation type="list" allowBlank="1" showInputMessage="1" showErrorMessage="1" sqref="Y5:AM5">
      <formula1>$BC$26:$BC$28</formula1>
    </dataValidation>
  </dataValidations>
  <hyperlinks>
    <hyperlink ref="B2:E2" location="業務情報!A1" tooltip="業務情報シートに移動" display="業務情報"/>
  </hyperlinks>
  <printOptions horizontalCentered="1" verticalCentered="1"/>
  <pageMargins left="0.5905511811023623" right="0.5905511811023623" top="0.984251968503937" bottom="0.7874015748031497" header="0.5118110236220472" footer="0.5118110236220472"/>
  <pageSetup blackAndWhite="1"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tabColor indexed="45"/>
  </sheetPr>
  <dimension ref="A1:BC34"/>
  <sheetViews>
    <sheetView showGridLines="0" showRowColHeaders="0" workbookViewId="0" topLeftCell="A4">
      <selection activeCell="Y5" sqref="Y5:AM5"/>
    </sheetView>
  </sheetViews>
  <sheetFormatPr defaultColWidth="8.625" defaultRowHeight="13.5"/>
  <cols>
    <col min="1" max="1" width="5.00390625" style="1" customWidth="1"/>
    <col min="2" max="2" width="6.625" style="1" customWidth="1"/>
    <col min="3" max="4" width="0.12890625" style="1" customWidth="1"/>
    <col min="5" max="5" width="5.625" style="1" customWidth="1"/>
    <col min="6" max="6" width="0.12890625" style="1" customWidth="1"/>
    <col min="7" max="7" width="5.625" style="1" customWidth="1"/>
    <col min="8" max="8" width="0.12890625" style="1" customWidth="1"/>
    <col min="9" max="9" width="5.625" style="1" customWidth="1"/>
    <col min="10" max="10" width="0.12890625" style="1" customWidth="1"/>
    <col min="11" max="11" width="5.625" style="1" customWidth="1"/>
    <col min="12" max="12" width="0.12890625" style="1" customWidth="1"/>
    <col min="13" max="20" width="2.75390625" style="1" customWidth="1"/>
    <col min="21" max="21" width="5.625" style="1" customWidth="1"/>
    <col min="22" max="22" width="0.12890625" style="1" customWidth="1"/>
    <col min="23" max="23" width="5.625" style="1" customWidth="1"/>
    <col min="24" max="24" width="0.12890625" style="1" customWidth="1"/>
    <col min="25" max="25" width="5.625" style="1" customWidth="1"/>
    <col min="26" max="26" width="0.12890625" style="1" customWidth="1"/>
    <col min="27" max="27" width="5.625" style="1" customWidth="1"/>
    <col min="28" max="28" width="0.12890625" style="1" customWidth="1"/>
    <col min="29" max="32" width="2.75390625" style="1" customWidth="1"/>
    <col min="33" max="36" width="2.75390625" style="2" customWidth="1"/>
    <col min="37" max="50" width="2.75390625" style="1" customWidth="1"/>
    <col min="51" max="51" width="10.375" style="0" customWidth="1"/>
    <col min="52" max="53" width="10.00390625" style="0" customWidth="1"/>
    <col min="54" max="54" width="18.875" style="89" hidden="1" customWidth="1"/>
    <col min="55" max="55" width="14.375" style="89" hidden="1" customWidth="1"/>
    <col min="56" max="58" width="10.00390625" style="0" customWidth="1"/>
    <col min="59" max="73" width="3.25390625" style="1" customWidth="1"/>
    <col min="74" max="16384" width="8.625" style="1" customWidth="1"/>
  </cols>
  <sheetData>
    <row r="1" spans="2:55" ht="21" customHeight="1"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BB1" s="10"/>
      <c r="BC1" s="10"/>
    </row>
    <row r="2" spans="1:55" ht="23.25" customHeight="1">
      <c r="A2"/>
      <c r="B2" s="607" t="s">
        <v>388</v>
      </c>
      <c r="C2" s="607"/>
      <c r="D2" s="607"/>
      <c r="E2" s="607"/>
      <c r="F2" s="608" t="s">
        <v>390</v>
      </c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608"/>
      <c r="AW2" s="608"/>
      <c r="AX2" s="608"/>
      <c r="BB2" s="10"/>
      <c r="BC2" s="10"/>
    </row>
    <row r="3" spans="1:55" ht="21" customHeight="1">
      <c r="A3"/>
      <c r="B3" s="605" t="s">
        <v>44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BB3" s="10"/>
      <c r="BC3" s="10"/>
    </row>
    <row r="4" spans="1:55" ht="21" customHeight="1" thickBot="1">
      <c r="A4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BB4" s="10"/>
      <c r="BC4" s="10"/>
    </row>
    <row r="5" spans="2:55" ht="24" customHeight="1" thickBot="1">
      <c r="B5" s="1121" t="s">
        <v>384</v>
      </c>
      <c r="C5" s="1122"/>
      <c r="D5" s="1122"/>
      <c r="E5" s="1123"/>
      <c r="F5" s="472" t="s">
        <v>111</v>
      </c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4"/>
      <c r="U5" s="1121" t="s">
        <v>389</v>
      </c>
      <c r="V5" s="1122"/>
      <c r="W5" s="1122"/>
      <c r="X5" s="1123"/>
      <c r="Y5" s="472" t="s">
        <v>60</v>
      </c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4"/>
      <c r="AN5" s="606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BB5" s="10"/>
      <c r="BC5" s="10"/>
    </row>
    <row r="6" spans="1:55" ht="21" customHeight="1">
      <c r="A6" s="12"/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BB6" s="10"/>
      <c r="BC6" s="10"/>
    </row>
    <row r="7" spans="2:55" ht="30.75" customHeight="1">
      <c r="B7" s="462" t="str">
        <f>IF($F$5=$BB$18,$BB$18,$F$5&amp;" 精 度 管 理 表")</f>
        <v>横 断 測 量 精 度 管 理 表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BB7" s="10"/>
      <c r="BC7" s="10"/>
    </row>
    <row r="8" spans="2:55" ht="18.75" customHeight="1">
      <c r="B8" s="1180" t="s">
        <v>110</v>
      </c>
      <c r="C8" s="1180"/>
      <c r="D8" s="1180"/>
      <c r="E8" s="1180"/>
      <c r="F8" s="1180"/>
      <c r="G8" s="1180"/>
      <c r="H8" s="1180"/>
      <c r="I8" s="1180"/>
      <c r="J8" s="1180"/>
      <c r="K8" s="1180"/>
      <c r="L8" s="1180"/>
      <c r="M8" s="1180"/>
      <c r="N8" s="1180"/>
      <c r="O8" s="1180"/>
      <c r="P8" s="1180"/>
      <c r="Q8" s="1180"/>
      <c r="R8" s="1180"/>
      <c r="S8" s="1180"/>
      <c r="T8" s="1180"/>
      <c r="U8" s="1180"/>
      <c r="V8" s="1180"/>
      <c r="W8" s="1180"/>
      <c r="X8" s="1180"/>
      <c r="Y8" s="1180"/>
      <c r="Z8" s="1180"/>
      <c r="AA8" s="1180"/>
      <c r="AB8" s="1180"/>
      <c r="AC8" s="1180"/>
      <c r="AD8" s="1180"/>
      <c r="AE8" s="1180"/>
      <c r="AF8" s="1180"/>
      <c r="AG8" s="1180"/>
      <c r="AH8" s="1180"/>
      <c r="AI8" s="1180"/>
      <c r="AJ8" s="1180"/>
      <c r="AK8" s="1180"/>
      <c r="AL8" s="1180"/>
      <c r="AM8" s="1180"/>
      <c r="AN8" s="1180"/>
      <c r="AO8" s="1180"/>
      <c r="AP8" s="1180"/>
      <c r="AQ8" s="1180"/>
      <c r="AR8" s="1180"/>
      <c r="AS8" s="1180"/>
      <c r="AT8" s="1180"/>
      <c r="AU8" s="1180"/>
      <c r="AV8" s="1180"/>
      <c r="AW8" s="1180"/>
      <c r="AX8" s="1180"/>
      <c r="BB8" s="10"/>
      <c r="BC8" s="10"/>
    </row>
    <row r="9" spans="2:55" ht="30" customHeight="1">
      <c r="B9" s="369" t="s">
        <v>45</v>
      </c>
      <c r="C9" s="370"/>
      <c r="D9" s="371"/>
      <c r="E9" s="503" t="str">
        <f>IF($BB$12=1,"",IF('業務情報'!$C$3="","",IF('業務情報'!$C$3="","",'業務情報'!$C$3)))</f>
        <v>平成２６年度
○○測量業務</v>
      </c>
      <c r="F9" s="504"/>
      <c r="G9" s="504"/>
      <c r="H9" s="504"/>
      <c r="I9" s="504"/>
      <c r="J9" s="504"/>
      <c r="K9" s="504"/>
      <c r="L9" s="505"/>
      <c r="M9" s="369" t="s">
        <v>46</v>
      </c>
      <c r="N9" s="370"/>
      <c r="O9" s="371"/>
      <c r="P9" s="507" t="str">
        <f>IF($BJ$12=1,"",IF('業務情報'!$C$6="","",'業務情報'!$C$6))</f>
        <v>○○市　○○地区</v>
      </c>
      <c r="Q9" s="496"/>
      <c r="R9" s="496"/>
      <c r="S9" s="496"/>
      <c r="T9" s="496"/>
      <c r="U9" s="496"/>
      <c r="V9" s="496"/>
      <c r="W9" s="497"/>
      <c r="X9" s="369" t="s">
        <v>126</v>
      </c>
      <c r="Y9" s="370"/>
      <c r="Z9" s="371"/>
      <c r="AA9" s="508" t="str">
        <f>IF($BJ$12=1,"",IF('業務情報'!$E$3="","",'業務情報'!$E$3))</f>
        <v>○○地方整備局
○○事務所</v>
      </c>
      <c r="AB9" s="509"/>
      <c r="AC9" s="509"/>
      <c r="AD9" s="509"/>
      <c r="AE9" s="509"/>
      <c r="AF9" s="510"/>
      <c r="AG9" s="369" t="s">
        <v>127</v>
      </c>
      <c r="AH9" s="370"/>
      <c r="AI9" s="371"/>
      <c r="AJ9" s="507" t="str">
        <f>IF($BJ$12=1,"",IF('業務情報'!$E$4="","",'業務情報'!$E$4))</f>
        <v>（有）サーベイテック</v>
      </c>
      <c r="AK9" s="496"/>
      <c r="AL9" s="496"/>
      <c r="AM9" s="496"/>
      <c r="AN9" s="496"/>
      <c r="AO9" s="497"/>
      <c r="AP9" s="369" t="s">
        <v>48</v>
      </c>
      <c r="AQ9" s="370"/>
      <c r="AR9" s="371"/>
      <c r="AS9" s="498" t="str">
        <f>IF($BJ$12=1,"",IF('業務情報'!$G$4="","",'業務情報'!$G$4))</f>
        <v>曽木亜　説戸</v>
      </c>
      <c r="AT9" s="499"/>
      <c r="AU9" s="499"/>
      <c r="AV9" s="499"/>
      <c r="AW9" s="499"/>
      <c r="AX9" s="40" t="s">
        <v>125</v>
      </c>
      <c r="BB9" s="10"/>
      <c r="BC9" s="10"/>
    </row>
    <row r="10" spans="2:55" ht="30" customHeight="1">
      <c r="B10" s="369" t="s">
        <v>49</v>
      </c>
      <c r="C10" s="370"/>
      <c r="D10" s="371"/>
      <c r="E10" s="500" t="str">
        <f>'業務情報'!C5</f>
        <v>国道1024号</v>
      </c>
      <c r="F10" s="501"/>
      <c r="G10" s="501"/>
      <c r="H10" s="501"/>
      <c r="I10" s="501"/>
      <c r="J10" s="501"/>
      <c r="K10" s="501"/>
      <c r="L10" s="502"/>
      <c r="M10" s="369" t="s">
        <v>50</v>
      </c>
      <c r="N10" s="370"/>
      <c r="O10" s="371"/>
      <c r="P10" s="508" t="str">
        <f>IF($BJ$12=1,"",IF('業務情報'!$E$5="","",'業務情報'!$E$5))</f>
        <v>自 平成26年10月10日
至 平成27年3月15日</v>
      </c>
      <c r="Q10" s="509"/>
      <c r="R10" s="509"/>
      <c r="S10" s="509"/>
      <c r="T10" s="509"/>
      <c r="U10" s="509"/>
      <c r="V10" s="509"/>
      <c r="W10" s="510"/>
      <c r="X10" s="369" t="s">
        <v>104</v>
      </c>
      <c r="Y10" s="370"/>
      <c r="Z10" s="371"/>
      <c r="AA10" s="1212" t="s">
        <v>674</v>
      </c>
      <c r="AB10" s="1213"/>
      <c r="AC10" s="1213"/>
      <c r="AD10" s="1213"/>
      <c r="AE10" s="1213"/>
      <c r="AF10" s="1214"/>
      <c r="AG10" s="325" t="s">
        <v>511</v>
      </c>
      <c r="AH10" s="326"/>
      <c r="AI10" s="327"/>
      <c r="AJ10" s="507" t="str">
        <f>IF($BJ$12=1,"",IF('業務情報'!$G$3="","",'業務情報'!$G$3))</f>
        <v>兎位瑠度　逓津宇</v>
      </c>
      <c r="AK10" s="496"/>
      <c r="AL10" s="496"/>
      <c r="AM10" s="496"/>
      <c r="AN10" s="496"/>
      <c r="AO10" s="41" t="s">
        <v>125</v>
      </c>
      <c r="AP10" s="369" t="s">
        <v>52</v>
      </c>
      <c r="AQ10" s="370"/>
      <c r="AR10" s="371"/>
      <c r="AS10" s="467"/>
      <c r="AT10" s="468"/>
      <c r="AU10" s="468"/>
      <c r="AV10" s="468"/>
      <c r="AW10" s="468"/>
      <c r="AX10" s="469"/>
      <c r="BB10" s="10"/>
      <c r="BC10" s="10"/>
    </row>
    <row r="11" spans="2:55" ht="12" customHeight="1">
      <c r="B11" s="888"/>
      <c r="C11" s="888"/>
      <c r="D11" s="888"/>
      <c r="E11" s="888"/>
      <c r="F11" s="888"/>
      <c r="G11" s="888"/>
      <c r="H11" s="888"/>
      <c r="I11" s="888"/>
      <c r="J11" s="888"/>
      <c r="K11" s="888"/>
      <c r="L11" s="888"/>
      <c r="M11" s="888"/>
      <c r="N11" s="888"/>
      <c r="O11" s="888"/>
      <c r="P11" s="888"/>
      <c r="Q11" s="888"/>
      <c r="R11" s="888"/>
      <c r="S11" s="888"/>
      <c r="T11" s="888"/>
      <c r="U11" s="888"/>
      <c r="V11" s="888"/>
      <c r="W11" s="888"/>
      <c r="X11" s="888"/>
      <c r="Y11" s="888"/>
      <c r="Z11" s="888"/>
      <c r="AA11" s="888"/>
      <c r="AB11" s="888"/>
      <c r="AC11" s="888"/>
      <c r="AD11" s="888"/>
      <c r="AE11" s="888"/>
      <c r="AF11" s="888"/>
      <c r="AG11" s="888"/>
      <c r="AH11" s="888"/>
      <c r="AI11" s="888"/>
      <c r="AJ11" s="888"/>
      <c r="AK11" s="888"/>
      <c r="AL11" s="888"/>
      <c r="AM11" s="888"/>
      <c r="AN11" s="888"/>
      <c r="AO11" s="888"/>
      <c r="AP11" s="888"/>
      <c r="AQ11" s="888"/>
      <c r="AR11" s="888"/>
      <c r="AS11" s="888"/>
      <c r="AT11" s="888"/>
      <c r="AU11" s="888"/>
      <c r="AV11" s="888"/>
      <c r="AW11" s="888"/>
      <c r="AX11" s="888"/>
      <c r="BB11" s="10"/>
      <c r="BC11" s="10"/>
    </row>
    <row r="12" spans="2:55" ht="19.5" customHeight="1">
      <c r="B12" s="1195" t="s">
        <v>53</v>
      </c>
      <c r="C12" s="1163"/>
      <c r="D12" s="1164"/>
      <c r="E12" s="1008" t="s">
        <v>417</v>
      </c>
      <c r="F12" s="1009"/>
      <c r="G12" s="1009"/>
      <c r="H12" s="1009"/>
      <c r="I12" s="1009"/>
      <c r="J12" s="1009"/>
      <c r="K12" s="1009"/>
      <c r="L12" s="1009"/>
      <c r="M12" s="1009"/>
      <c r="N12" s="1009"/>
      <c r="O12" s="1009"/>
      <c r="P12" s="1009"/>
      <c r="Q12" s="1009"/>
      <c r="R12" s="1009"/>
      <c r="S12" s="1009"/>
      <c r="T12" s="1151"/>
      <c r="U12" s="1162" t="s">
        <v>416</v>
      </c>
      <c r="V12" s="1009"/>
      <c r="W12" s="1009"/>
      <c r="X12" s="1009"/>
      <c r="Y12" s="1009"/>
      <c r="Z12" s="1009"/>
      <c r="AA12" s="1009"/>
      <c r="AB12" s="1009"/>
      <c r="AC12" s="1009"/>
      <c r="AD12" s="1009"/>
      <c r="AE12" s="1009"/>
      <c r="AF12" s="1009"/>
      <c r="AG12" s="1009"/>
      <c r="AH12" s="1009"/>
      <c r="AI12" s="1009"/>
      <c r="AJ12" s="1151"/>
      <c r="AK12" s="1152" t="str">
        <f>IF($BC$16=1,LEFT($BB$15,2),IF($BC$16=2,LEFT($BB$16,2),$Y$5))</f>
        <v>平地</v>
      </c>
      <c r="AL12" s="1153"/>
      <c r="AM12" s="1153"/>
      <c r="AN12" s="1153"/>
      <c r="AO12" s="1153"/>
      <c r="AP12" s="1153"/>
      <c r="AQ12" s="1153"/>
      <c r="AR12" s="1154"/>
      <c r="AS12" s="1176" t="s">
        <v>63</v>
      </c>
      <c r="AT12" s="1176"/>
      <c r="AU12" s="1176"/>
      <c r="AV12" s="1176"/>
      <c r="AW12" s="1176"/>
      <c r="AX12" s="1177"/>
      <c r="BB12" s="76">
        <f>IF($F$5=$BB$18,1,2)</f>
        <v>2</v>
      </c>
      <c r="BC12" s="70" t="s">
        <v>115</v>
      </c>
    </row>
    <row r="13" spans="2:55" ht="19.5" customHeight="1">
      <c r="B13" s="1207"/>
      <c r="C13" s="1196"/>
      <c r="D13" s="1208"/>
      <c r="E13" s="1195" t="s">
        <v>57</v>
      </c>
      <c r="F13" s="1163"/>
      <c r="G13" s="1163"/>
      <c r="H13" s="1164"/>
      <c r="I13" s="1163" t="s">
        <v>418</v>
      </c>
      <c r="J13" s="1163"/>
      <c r="K13" s="1163"/>
      <c r="L13" s="1164"/>
      <c r="M13" s="1163" t="s">
        <v>58</v>
      </c>
      <c r="N13" s="1163"/>
      <c r="O13" s="1163"/>
      <c r="P13" s="1164"/>
      <c r="Q13" s="1196" t="s">
        <v>419</v>
      </c>
      <c r="R13" s="1196"/>
      <c r="S13" s="1196"/>
      <c r="T13" s="1197"/>
      <c r="U13" s="1211" t="s">
        <v>57</v>
      </c>
      <c r="V13" s="1163"/>
      <c r="W13" s="1163"/>
      <c r="X13" s="1164"/>
      <c r="Y13" s="1163" t="s">
        <v>418</v>
      </c>
      <c r="Z13" s="1163"/>
      <c r="AA13" s="1163"/>
      <c r="AB13" s="1164"/>
      <c r="AC13" s="1163" t="s">
        <v>58</v>
      </c>
      <c r="AD13" s="1163"/>
      <c r="AE13" s="1163"/>
      <c r="AF13" s="1164"/>
      <c r="AG13" s="1209" t="s">
        <v>419</v>
      </c>
      <c r="AH13" s="1209"/>
      <c r="AI13" s="1209"/>
      <c r="AJ13" s="1210"/>
      <c r="AK13" s="1159" t="s">
        <v>65</v>
      </c>
      <c r="AL13" s="1159"/>
      <c r="AM13" s="1155" t="str">
        <f>IF($BC$16=0,"",IF(BC16=1,"L/500","L/300"))</f>
        <v>L/500</v>
      </c>
      <c r="AN13" s="1155"/>
      <c r="AO13" s="1155"/>
      <c r="AP13" s="1155"/>
      <c r="AQ13" s="1155"/>
      <c r="AR13" s="1156"/>
      <c r="AS13" s="1178"/>
      <c r="AT13" s="1178"/>
      <c r="AU13" s="1178"/>
      <c r="AV13" s="1178"/>
      <c r="AW13" s="1178"/>
      <c r="AX13" s="1179"/>
      <c r="BB13" s="69"/>
      <c r="BC13" s="71">
        <v>500</v>
      </c>
    </row>
    <row r="14" spans="2:55" ht="19.5" customHeight="1">
      <c r="B14" s="1207"/>
      <c r="C14" s="1196"/>
      <c r="D14" s="1208"/>
      <c r="E14" s="1008" t="s">
        <v>66</v>
      </c>
      <c r="F14" s="1010"/>
      <c r="G14" s="1009" t="s">
        <v>67</v>
      </c>
      <c r="H14" s="1010"/>
      <c r="I14" s="1009" t="s">
        <v>66</v>
      </c>
      <c r="J14" s="1009"/>
      <c r="K14" s="1008" t="s">
        <v>67</v>
      </c>
      <c r="L14" s="1010"/>
      <c r="M14" s="1008" t="s">
        <v>66</v>
      </c>
      <c r="N14" s="1010"/>
      <c r="O14" s="1009" t="s">
        <v>67</v>
      </c>
      <c r="P14" s="1010"/>
      <c r="Q14" s="1008" t="s">
        <v>66</v>
      </c>
      <c r="R14" s="1010"/>
      <c r="S14" s="1009" t="s">
        <v>67</v>
      </c>
      <c r="T14" s="1151"/>
      <c r="U14" s="1162" t="s">
        <v>66</v>
      </c>
      <c r="V14" s="1009"/>
      <c r="W14" s="1008" t="s">
        <v>67</v>
      </c>
      <c r="X14" s="1010"/>
      <c r="Y14" s="1008" t="s">
        <v>66</v>
      </c>
      <c r="Z14" s="1010"/>
      <c r="AA14" s="1009" t="s">
        <v>67</v>
      </c>
      <c r="AB14" s="1010"/>
      <c r="AC14" s="1009" t="s">
        <v>66</v>
      </c>
      <c r="AD14" s="1009"/>
      <c r="AE14" s="1008" t="s">
        <v>67</v>
      </c>
      <c r="AF14" s="1010"/>
      <c r="AG14" s="1161" t="s">
        <v>66</v>
      </c>
      <c r="AH14" s="1030"/>
      <c r="AI14" s="1029" t="s">
        <v>67</v>
      </c>
      <c r="AJ14" s="1160"/>
      <c r="AK14" s="1159" t="s">
        <v>68</v>
      </c>
      <c r="AL14" s="1159"/>
      <c r="AM14" s="1157" t="str">
        <f>IF($BC$16=0,"",IF($BC$16=1,"20mm+50mm√L/100","50mm+150mm√L/100"))</f>
        <v>20mm+50mm√L/100</v>
      </c>
      <c r="AN14" s="1157"/>
      <c r="AO14" s="1157"/>
      <c r="AP14" s="1157"/>
      <c r="AQ14" s="1157"/>
      <c r="AR14" s="1158"/>
      <c r="AS14" s="1178"/>
      <c r="AT14" s="1178"/>
      <c r="AU14" s="1178"/>
      <c r="AV14" s="1178"/>
      <c r="AW14" s="1178"/>
      <c r="AX14" s="1179"/>
      <c r="BB14" s="77" t="str">
        <f>"地形を選択してください"</f>
        <v>地形を選択してください</v>
      </c>
      <c r="BC14" s="78">
        <v>300</v>
      </c>
    </row>
    <row r="15" spans="2:55" ht="21" customHeight="1">
      <c r="B15" s="270" t="s">
        <v>675</v>
      </c>
      <c r="C15" s="257"/>
      <c r="D15" s="258"/>
      <c r="E15" s="271">
        <v>5</v>
      </c>
      <c r="F15" s="265"/>
      <c r="G15" s="271">
        <v>4</v>
      </c>
      <c r="H15" s="265"/>
      <c r="I15" s="272">
        <v>5</v>
      </c>
      <c r="J15" s="266"/>
      <c r="K15" s="272">
        <v>4.001</v>
      </c>
      <c r="L15" s="264"/>
      <c r="M15" s="1165">
        <f>IF(OR(E15="",I15="",Q15=""),"",ABS(E15-I15))</f>
        <v>0</v>
      </c>
      <c r="N15" s="1166"/>
      <c r="O15" s="1165">
        <f>IF(OR(G15="",K15="",S15=""),"",ABS(G15-K15))</f>
        <v>0.001000000000000334</v>
      </c>
      <c r="P15" s="1166"/>
      <c r="Q15" s="1165">
        <f aca="true" t="shared" si="0" ref="Q15:Q29">IF(OR(E15="",I15="",$BC$16=0,$BB$12=0),"",ROUNDDOWN(ABS(E15)/INDEX($BC$13:$BC$14,$BC$16,1),3))</f>
        <v>0.01</v>
      </c>
      <c r="R15" s="1166"/>
      <c r="S15" s="1169">
        <f aca="true" t="shared" si="1" ref="S15:S29">IF(OR(G15="",K15="",$BC$16=0,$BB$12=0),"",ROUNDDOWN(ABS(G15)/INDEX($BC$13:$BC$14,$BC$16,1),3))</f>
        <v>0.008</v>
      </c>
      <c r="T15" s="1171"/>
      <c r="U15" s="273">
        <v>2.5972500000000007</v>
      </c>
      <c r="V15" s="267"/>
      <c r="W15" s="276">
        <v>2.18375</v>
      </c>
      <c r="X15" s="267"/>
      <c r="Y15" s="276">
        <v>2.597</v>
      </c>
      <c r="Z15" s="267"/>
      <c r="AA15" s="276">
        <v>2.184</v>
      </c>
      <c r="AB15" s="260"/>
      <c r="AC15" s="1169">
        <f>IF(OR(U15="",Y15="",AG15=""),"",ABS(U15-Y15))</f>
        <v>0.0002500000000007496</v>
      </c>
      <c r="AD15" s="1170"/>
      <c r="AE15" s="1169">
        <f>IF(OR(W15="",AA15="",AI15=""),"",ABS(W15-AA15))</f>
        <v>0.00025000000000030553</v>
      </c>
      <c r="AF15" s="1170"/>
      <c r="AG15" s="1169">
        <f>IF(OR(U15="",Y15="",$BC$16=0,$BB$12=0),"",IF($BC$16=2,ROUNDDOWN(0.05+0.15*(ABS(E15)/100)^0.5,3),IF($BC$16=1,ROUNDDOWN(0.02+0.05*(ABS(E15)/100)^0.5,3),"")))</f>
        <v>0.031</v>
      </c>
      <c r="AH15" s="1170"/>
      <c r="AI15" s="1169">
        <f>IF(OR(W15="",AA15="",$BC$16=0,$BB$12=0),"",IF($BC$16=2,ROUNDDOWN(0.05+0.15*(ABS(G15)/100)^0.5,3),IF($BC$16=1,ROUNDDOWN(0.02+0.05*(ABS(G15)/100)^0.5,3),"")))</f>
        <v>0.03</v>
      </c>
      <c r="AJ15" s="1171"/>
      <c r="AK15" s="1206"/>
      <c r="AL15" s="1205"/>
      <c r="AM15" s="1204"/>
      <c r="AN15" s="1205"/>
      <c r="AO15" s="1167"/>
      <c r="AP15" s="1168"/>
      <c r="AQ15" s="1167"/>
      <c r="AR15" s="1198"/>
      <c r="AS15" s="1187" t="s">
        <v>69</v>
      </c>
      <c r="AT15" s="326"/>
      <c r="AU15" s="326"/>
      <c r="AV15" s="326"/>
      <c r="AW15" s="326"/>
      <c r="AX15" s="327"/>
      <c r="BB15" s="79" t="s">
        <v>60</v>
      </c>
      <c r="BC15" s="80"/>
    </row>
    <row r="16" spans="2:55" ht="21" customHeight="1">
      <c r="B16" s="270" t="s">
        <v>632</v>
      </c>
      <c r="C16" s="257"/>
      <c r="D16" s="258"/>
      <c r="E16" s="271">
        <v>5</v>
      </c>
      <c r="F16" s="265"/>
      <c r="G16" s="271">
        <v>4</v>
      </c>
      <c r="H16" s="265"/>
      <c r="I16" s="272">
        <v>4.998424751866934</v>
      </c>
      <c r="J16" s="266"/>
      <c r="K16" s="272">
        <v>4.001181075625146</v>
      </c>
      <c r="L16" s="264"/>
      <c r="M16" s="1165">
        <f aca="true" t="shared" si="2" ref="M16:M29">IF(OR(E16="",I16="",Q16=""),"",ABS(E16-I16))</f>
        <v>0.0015752481330659762</v>
      </c>
      <c r="N16" s="1166"/>
      <c r="O16" s="1165">
        <f aca="true" t="shared" si="3" ref="O16:O29">IF(OR(G16="",K16="",S16=""),"",ABS(G16-K16))</f>
        <v>0.001181075625146022</v>
      </c>
      <c r="P16" s="1166"/>
      <c r="Q16" s="1165">
        <f t="shared" si="0"/>
        <v>0.01</v>
      </c>
      <c r="R16" s="1166"/>
      <c r="S16" s="1165">
        <f t="shared" si="1"/>
        <v>0.008</v>
      </c>
      <c r="T16" s="1172"/>
      <c r="U16" s="273">
        <v>2.6032500000000005</v>
      </c>
      <c r="V16" s="267"/>
      <c r="W16" s="276">
        <v>2.16375</v>
      </c>
      <c r="X16" s="267"/>
      <c r="Y16" s="276">
        <v>2.6029999999999998</v>
      </c>
      <c r="Z16" s="267"/>
      <c r="AA16" s="276">
        <v>2.162</v>
      </c>
      <c r="AB16" s="260"/>
      <c r="AC16" s="1165">
        <f aca="true" t="shared" si="4" ref="AC16:AC29">IF(OR(U16="",Y16="",AG16=""),"",ABS(U16-Y16))</f>
        <v>0.0002500000000007496</v>
      </c>
      <c r="AD16" s="1166"/>
      <c r="AE16" s="1165">
        <f aca="true" t="shared" si="5" ref="AE16:AE29">IF(OR(W16="",AA16="",AI16=""),"",ABS(W16-AA16))</f>
        <v>0.0017499999999999183</v>
      </c>
      <c r="AF16" s="1166"/>
      <c r="AG16" s="1169">
        <f aca="true" t="shared" si="6" ref="AG16:AG29">IF(OR(U16="",Y16="",$BC$16=0,$BB$12=0),"",IF($BC$16=2,ROUNDDOWN(0.05+0.15*(ABS(E16)/100)^0.5,3),IF($BC$16=1,ROUNDDOWN(0.02+0.05*(ABS(E16)/100)^0.5,3),"")))</f>
        <v>0.031</v>
      </c>
      <c r="AH16" s="1170"/>
      <c r="AI16" s="1169">
        <f aca="true" t="shared" si="7" ref="AI16:AI29">IF(OR(W16="",AA16="",$BC$16=0,$BB$12=0),"",IF($BC$16=2,ROUNDDOWN(0.05+0.15*(ABS(G16)/100)^0.5,3),IF($BC$16=1,ROUNDDOWN(0.02+0.05*(ABS(G16)/100)^0.5,3),"")))</f>
        <v>0.03</v>
      </c>
      <c r="AJ16" s="1171"/>
      <c r="AK16" s="1206"/>
      <c r="AL16" s="1205"/>
      <c r="AM16" s="1167"/>
      <c r="AN16" s="1168"/>
      <c r="AO16" s="1167"/>
      <c r="AP16" s="1168"/>
      <c r="AQ16" s="1199"/>
      <c r="AR16" s="1200"/>
      <c r="AS16" s="1188" t="s">
        <v>518</v>
      </c>
      <c r="AT16" s="1189"/>
      <c r="AU16" s="1189"/>
      <c r="AV16" s="1189"/>
      <c r="AW16" s="1189"/>
      <c r="AX16" s="1190"/>
      <c r="BB16" s="81" t="s">
        <v>61</v>
      </c>
      <c r="BC16" s="82">
        <f>IF(Y5=BB14,0,IF(Y5=BB15,1,2))</f>
        <v>1</v>
      </c>
    </row>
    <row r="17" spans="2:55" ht="21" customHeight="1">
      <c r="B17" s="270" t="s">
        <v>676</v>
      </c>
      <c r="C17" s="257"/>
      <c r="D17" s="258"/>
      <c r="E17" s="271">
        <v>5</v>
      </c>
      <c r="F17" s="265"/>
      <c r="G17" s="271">
        <v>4</v>
      </c>
      <c r="H17" s="265"/>
      <c r="I17" s="272">
        <v>4.99898269651069</v>
      </c>
      <c r="J17" s="266"/>
      <c r="K17" s="272">
        <v>4.0010479877185485</v>
      </c>
      <c r="L17" s="264"/>
      <c r="M17" s="1165">
        <f t="shared" si="2"/>
        <v>0.001017303489310173</v>
      </c>
      <c r="N17" s="1166"/>
      <c r="O17" s="1165">
        <f t="shared" si="3"/>
        <v>0.0010479877185485265</v>
      </c>
      <c r="P17" s="1166"/>
      <c r="Q17" s="1165">
        <f t="shared" si="0"/>
        <v>0.01</v>
      </c>
      <c r="R17" s="1166"/>
      <c r="S17" s="1165">
        <f t="shared" si="1"/>
        <v>0.008</v>
      </c>
      <c r="T17" s="1172"/>
      <c r="U17" s="273">
        <v>2.7952500000000002</v>
      </c>
      <c r="V17" s="267"/>
      <c r="W17" s="276">
        <v>2.14825</v>
      </c>
      <c r="X17" s="267"/>
      <c r="Y17" s="276">
        <v>2.796</v>
      </c>
      <c r="Z17" s="267"/>
      <c r="AA17" s="276">
        <v>2.1479999999999997</v>
      </c>
      <c r="AB17" s="260"/>
      <c r="AC17" s="1165">
        <f t="shared" si="4"/>
        <v>0.0007499999999995843</v>
      </c>
      <c r="AD17" s="1166"/>
      <c r="AE17" s="1165">
        <f t="shared" si="5"/>
        <v>0.00025000000000030553</v>
      </c>
      <c r="AF17" s="1166"/>
      <c r="AG17" s="1169">
        <f t="shared" si="6"/>
        <v>0.031</v>
      </c>
      <c r="AH17" s="1170"/>
      <c r="AI17" s="1169">
        <f t="shared" si="7"/>
        <v>0.03</v>
      </c>
      <c r="AJ17" s="1171"/>
      <c r="AK17" s="1173"/>
      <c r="AL17" s="1168"/>
      <c r="AM17" s="1167"/>
      <c r="AN17" s="1168"/>
      <c r="AO17" s="1173"/>
      <c r="AP17" s="1168"/>
      <c r="AQ17" s="1167"/>
      <c r="AR17" s="1198"/>
      <c r="AS17" s="1191"/>
      <c r="AT17" s="1191"/>
      <c r="AU17" s="1191"/>
      <c r="AV17" s="1191"/>
      <c r="AW17" s="1191"/>
      <c r="AX17" s="1192"/>
      <c r="BB17" s="83"/>
      <c r="BC17" s="84"/>
    </row>
    <row r="18" spans="2:55" ht="21" customHeight="1">
      <c r="B18" s="270" t="s">
        <v>677</v>
      </c>
      <c r="C18" s="257"/>
      <c r="D18" s="258"/>
      <c r="E18" s="271">
        <v>5</v>
      </c>
      <c r="F18" s="265"/>
      <c r="G18" s="271">
        <v>4</v>
      </c>
      <c r="H18" s="265"/>
      <c r="I18" s="272">
        <v>4.999795995844111</v>
      </c>
      <c r="J18" s="266"/>
      <c r="K18" s="272">
        <v>3.999855622388433</v>
      </c>
      <c r="L18" s="264"/>
      <c r="M18" s="1165">
        <f>IF(OR(E18="",I18="",Q18=""),"",ABS(E18-I18))</f>
        <v>0.0002040041558890593</v>
      </c>
      <c r="N18" s="1166"/>
      <c r="O18" s="1165">
        <f t="shared" si="3"/>
        <v>0.0001443776115670481</v>
      </c>
      <c r="P18" s="1166"/>
      <c r="Q18" s="1165">
        <f t="shared" si="0"/>
        <v>0.01</v>
      </c>
      <c r="R18" s="1166"/>
      <c r="S18" s="1165">
        <f t="shared" si="1"/>
        <v>0.008</v>
      </c>
      <c r="T18" s="1172"/>
      <c r="U18" s="273">
        <v>2.7827500000000005</v>
      </c>
      <c r="V18" s="267"/>
      <c r="W18" s="276">
        <v>2.15825</v>
      </c>
      <c r="X18" s="267"/>
      <c r="Y18" s="276">
        <v>2.783</v>
      </c>
      <c r="Z18" s="267"/>
      <c r="AA18" s="276">
        <v>2.1559999999999997</v>
      </c>
      <c r="AB18" s="260"/>
      <c r="AC18" s="1165">
        <f t="shared" si="4"/>
        <v>0.00024999999999941735</v>
      </c>
      <c r="AD18" s="1166"/>
      <c r="AE18" s="1165">
        <f t="shared" si="5"/>
        <v>0.0022500000000000853</v>
      </c>
      <c r="AF18" s="1166"/>
      <c r="AG18" s="1169">
        <f t="shared" si="6"/>
        <v>0.031</v>
      </c>
      <c r="AH18" s="1170"/>
      <c r="AI18" s="1169">
        <f t="shared" si="7"/>
        <v>0.03</v>
      </c>
      <c r="AJ18" s="1171"/>
      <c r="AK18" s="1173"/>
      <c r="AL18" s="1168"/>
      <c r="AM18" s="1167"/>
      <c r="AN18" s="1168"/>
      <c r="AO18" s="1173"/>
      <c r="AP18" s="1168"/>
      <c r="AQ18" s="1167"/>
      <c r="AR18" s="1198"/>
      <c r="AS18" s="1191"/>
      <c r="AT18" s="1191"/>
      <c r="AU18" s="1191"/>
      <c r="AV18" s="1191"/>
      <c r="AW18" s="1191"/>
      <c r="AX18" s="1192"/>
      <c r="BB18" s="85" t="str">
        <f>$B$5&amp;"を選択してください"</f>
        <v>測量内容を選択してください</v>
      </c>
      <c r="BC18" s="84"/>
    </row>
    <row r="19" spans="2:55" ht="21" customHeight="1">
      <c r="B19" s="270" t="s">
        <v>678</v>
      </c>
      <c r="C19" s="257"/>
      <c r="D19" s="258"/>
      <c r="E19" s="271">
        <v>5</v>
      </c>
      <c r="F19" s="265"/>
      <c r="G19" s="271">
        <v>4</v>
      </c>
      <c r="H19" s="265"/>
      <c r="I19" s="272">
        <v>4.999471372046275</v>
      </c>
      <c r="J19" s="266"/>
      <c r="K19" s="272">
        <v>3.9997166149675545</v>
      </c>
      <c r="L19" s="264"/>
      <c r="M19" s="1165">
        <f>IF(OR(E19="",I19="",Q19=""),"",ABS(E19-I19))</f>
        <v>0.0005286279537246585</v>
      </c>
      <c r="N19" s="1166"/>
      <c r="O19" s="1165">
        <f t="shared" si="3"/>
        <v>0.0002833850324455156</v>
      </c>
      <c r="P19" s="1166"/>
      <c r="Q19" s="1165">
        <f t="shared" si="0"/>
        <v>0.01</v>
      </c>
      <c r="R19" s="1166"/>
      <c r="S19" s="1165">
        <f t="shared" si="1"/>
        <v>0.008</v>
      </c>
      <c r="T19" s="1172"/>
      <c r="U19" s="273">
        <v>2.77925</v>
      </c>
      <c r="V19" s="267"/>
      <c r="W19" s="276">
        <v>2.1647499999999997</v>
      </c>
      <c r="X19" s="267"/>
      <c r="Y19" s="276">
        <v>2.78</v>
      </c>
      <c r="Z19" s="267"/>
      <c r="AA19" s="276">
        <v>2.162</v>
      </c>
      <c r="AB19" s="260"/>
      <c r="AC19" s="1165">
        <f t="shared" si="4"/>
        <v>0.0007499999999995843</v>
      </c>
      <c r="AD19" s="1166"/>
      <c r="AE19" s="1165">
        <f t="shared" si="5"/>
        <v>0.002749999999999808</v>
      </c>
      <c r="AF19" s="1166"/>
      <c r="AG19" s="1169">
        <f t="shared" si="6"/>
        <v>0.031</v>
      </c>
      <c r="AH19" s="1170"/>
      <c r="AI19" s="1169">
        <f t="shared" si="7"/>
        <v>0.03</v>
      </c>
      <c r="AJ19" s="1171"/>
      <c r="AK19" s="1173"/>
      <c r="AL19" s="1168"/>
      <c r="AM19" s="1173"/>
      <c r="AN19" s="1168"/>
      <c r="AO19" s="1173"/>
      <c r="AP19" s="1168"/>
      <c r="AQ19" s="1201"/>
      <c r="AR19" s="1202"/>
      <c r="AS19" s="1191"/>
      <c r="AT19" s="1191"/>
      <c r="AU19" s="1191"/>
      <c r="AV19" s="1191"/>
      <c r="AW19" s="1191"/>
      <c r="AX19" s="1192"/>
      <c r="BB19" s="86" t="s">
        <v>111</v>
      </c>
      <c r="BC19" s="84"/>
    </row>
    <row r="20" spans="2:55" ht="21" customHeight="1">
      <c r="B20" s="270" t="s">
        <v>633</v>
      </c>
      <c r="C20" s="257"/>
      <c r="D20" s="258"/>
      <c r="E20" s="271">
        <v>5</v>
      </c>
      <c r="F20" s="265"/>
      <c r="G20" s="271">
        <v>4</v>
      </c>
      <c r="H20" s="265"/>
      <c r="I20" s="272">
        <v>4.998957491311006</v>
      </c>
      <c r="J20" s="266"/>
      <c r="K20" s="272">
        <v>3.9994312095658753</v>
      </c>
      <c r="L20" s="264"/>
      <c r="M20" s="1165">
        <f>IF(OR(E20="",I20="",Q20=""),"",ABS(E20-I20))</f>
        <v>0.001042508688994026</v>
      </c>
      <c r="N20" s="1166"/>
      <c r="O20" s="1165">
        <f t="shared" si="3"/>
        <v>0.0005687904341247219</v>
      </c>
      <c r="P20" s="1166"/>
      <c r="Q20" s="1165">
        <f t="shared" si="0"/>
        <v>0.01</v>
      </c>
      <c r="R20" s="1166"/>
      <c r="S20" s="1165">
        <f t="shared" si="1"/>
        <v>0.008</v>
      </c>
      <c r="T20" s="1172"/>
      <c r="U20" s="273">
        <v>2.5997500000000007</v>
      </c>
      <c r="V20" s="267"/>
      <c r="W20" s="276">
        <v>2.17425</v>
      </c>
      <c r="X20" s="267"/>
      <c r="Y20" s="276">
        <v>2.6</v>
      </c>
      <c r="Z20" s="267"/>
      <c r="AA20" s="276">
        <v>2.1719999999999997</v>
      </c>
      <c r="AB20" s="260"/>
      <c r="AC20" s="1165">
        <f t="shared" si="4"/>
        <v>0.00024999999999941735</v>
      </c>
      <c r="AD20" s="1166"/>
      <c r="AE20" s="1165">
        <f t="shared" si="5"/>
        <v>0.0022500000000000853</v>
      </c>
      <c r="AF20" s="1166"/>
      <c r="AG20" s="1169">
        <f t="shared" si="6"/>
        <v>0.031</v>
      </c>
      <c r="AH20" s="1170"/>
      <c r="AI20" s="1169">
        <f t="shared" si="7"/>
        <v>0.03</v>
      </c>
      <c r="AJ20" s="1171"/>
      <c r="AK20" s="1173"/>
      <c r="AL20" s="1168"/>
      <c r="AM20" s="1173"/>
      <c r="AN20" s="1168"/>
      <c r="AO20" s="1173"/>
      <c r="AP20" s="1168"/>
      <c r="AQ20" s="1167"/>
      <c r="AR20" s="1198"/>
      <c r="AS20" s="1184"/>
      <c r="AT20" s="1185"/>
      <c r="AU20" s="1185"/>
      <c r="AV20" s="1185"/>
      <c r="AW20" s="1185"/>
      <c r="AX20" s="1186"/>
      <c r="BB20" s="71" t="s">
        <v>120</v>
      </c>
      <c r="BC20" s="84"/>
    </row>
    <row r="21" spans="2:55" ht="21" customHeight="1">
      <c r="B21" s="270" t="s">
        <v>634</v>
      </c>
      <c r="C21" s="257"/>
      <c r="D21" s="258"/>
      <c r="E21" s="271">
        <v>5</v>
      </c>
      <c r="F21" s="265"/>
      <c r="G21" s="271">
        <v>4</v>
      </c>
      <c r="H21" s="265"/>
      <c r="I21" s="272">
        <v>5.00014879778437</v>
      </c>
      <c r="J21" s="266"/>
      <c r="K21" s="272">
        <v>4.000408604129086</v>
      </c>
      <c r="L21" s="264"/>
      <c r="M21" s="1165">
        <f t="shared" si="2"/>
        <v>0.00014879778437038027</v>
      </c>
      <c r="N21" s="1166"/>
      <c r="O21" s="1165">
        <f t="shared" si="3"/>
        <v>0.00040860412908561017</v>
      </c>
      <c r="P21" s="1166"/>
      <c r="Q21" s="1165">
        <f t="shared" si="0"/>
        <v>0.01</v>
      </c>
      <c r="R21" s="1166"/>
      <c r="S21" s="1165">
        <f t="shared" si="1"/>
        <v>0.008</v>
      </c>
      <c r="T21" s="1172"/>
      <c r="U21" s="274">
        <v>2.7802500000000006</v>
      </c>
      <c r="V21" s="268"/>
      <c r="W21" s="277">
        <v>2.18225</v>
      </c>
      <c r="X21" s="268"/>
      <c r="Y21" s="277">
        <v>2.78</v>
      </c>
      <c r="Z21" s="268"/>
      <c r="AA21" s="277">
        <v>2.178</v>
      </c>
      <c r="AB21" s="261"/>
      <c r="AC21" s="1165">
        <f t="shared" si="4"/>
        <v>0.0002500000000007496</v>
      </c>
      <c r="AD21" s="1166"/>
      <c r="AE21" s="1165">
        <f t="shared" si="5"/>
        <v>0.004249999999999865</v>
      </c>
      <c r="AF21" s="1166"/>
      <c r="AG21" s="1169">
        <f t="shared" si="6"/>
        <v>0.031</v>
      </c>
      <c r="AH21" s="1170"/>
      <c r="AI21" s="1169">
        <f t="shared" si="7"/>
        <v>0.03</v>
      </c>
      <c r="AJ21" s="1171"/>
      <c r="AK21" s="1174"/>
      <c r="AL21" s="1175"/>
      <c r="AM21" s="1174"/>
      <c r="AN21" s="1175"/>
      <c r="AO21" s="1174"/>
      <c r="AP21" s="1175"/>
      <c r="AQ21" s="1174"/>
      <c r="AR21" s="1203"/>
      <c r="AS21" s="1187" t="s">
        <v>70</v>
      </c>
      <c r="AT21" s="326"/>
      <c r="AU21" s="326"/>
      <c r="AV21" s="326"/>
      <c r="AW21" s="326"/>
      <c r="AX21" s="327"/>
      <c r="BB21" s="86" t="s">
        <v>121</v>
      </c>
      <c r="BC21" s="87"/>
    </row>
    <row r="22" spans="2:55" ht="21" customHeight="1">
      <c r="B22" s="270" t="s">
        <v>635</v>
      </c>
      <c r="C22" s="257"/>
      <c r="D22" s="258"/>
      <c r="E22" s="271">
        <v>5</v>
      </c>
      <c r="F22" s="265"/>
      <c r="G22" s="271">
        <v>4</v>
      </c>
      <c r="H22" s="265"/>
      <c r="I22" s="272">
        <v>4.999236941771669</v>
      </c>
      <c r="J22" s="266"/>
      <c r="K22" s="272">
        <v>4.000440975693924</v>
      </c>
      <c r="L22" s="264"/>
      <c r="M22" s="1165">
        <f t="shared" si="2"/>
        <v>0.0007630582283306708</v>
      </c>
      <c r="N22" s="1166"/>
      <c r="O22" s="1165">
        <f t="shared" si="3"/>
        <v>0.00044097569392409497</v>
      </c>
      <c r="P22" s="1166"/>
      <c r="Q22" s="1165">
        <f t="shared" si="0"/>
        <v>0.01</v>
      </c>
      <c r="R22" s="1166"/>
      <c r="S22" s="1165">
        <f t="shared" si="1"/>
        <v>0.008</v>
      </c>
      <c r="T22" s="1172"/>
      <c r="U22" s="274">
        <v>2.7382500000000007</v>
      </c>
      <c r="V22" s="268"/>
      <c r="W22" s="277">
        <v>2.2002499999999996</v>
      </c>
      <c r="X22" s="268"/>
      <c r="Y22" s="277">
        <v>2.7359999999999998</v>
      </c>
      <c r="Z22" s="268"/>
      <c r="AA22" s="277">
        <v>2.198</v>
      </c>
      <c r="AB22" s="261"/>
      <c r="AC22" s="1165">
        <f t="shared" si="4"/>
        <v>0.0022500000000009734</v>
      </c>
      <c r="AD22" s="1166"/>
      <c r="AE22" s="1165">
        <f t="shared" si="5"/>
        <v>0.002249999999999641</v>
      </c>
      <c r="AF22" s="1166"/>
      <c r="AG22" s="1169">
        <f t="shared" si="6"/>
        <v>0.031</v>
      </c>
      <c r="AH22" s="1170"/>
      <c r="AI22" s="1169">
        <f t="shared" si="7"/>
        <v>0.03</v>
      </c>
      <c r="AJ22" s="1171"/>
      <c r="AK22" s="1173"/>
      <c r="AL22" s="1168"/>
      <c r="AM22" s="1173"/>
      <c r="AN22" s="1168"/>
      <c r="AO22" s="1173"/>
      <c r="AP22" s="1168"/>
      <c r="AQ22" s="1173"/>
      <c r="AR22" s="1198"/>
      <c r="AS22" s="1182" t="s">
        <v>518</v>
      </c>
      <c r="AT22" s="1182"/>
      <c r="AU22" s="1182"/>
      <c r="AV22" s="1182"/>
      <c r="AW22" s="1182"/>
      <c r="AX22" s="1183"/>
      <c r="BB22" s="88" t="s">
        <v>21</v>
      </c>
      <c r="BC22" s="87"/>
    </row>
    <row r="23" spans="2:55" ht="21" customHeight="1">
      <c r="B23" s="270" t="s">
        <v>679</v>
      </c>
      <c r="C23" s="257"/>
      <c r="D23" s="258"/>
      <c r="E23" s="271">
        <v>5</v>
      </c>
      <c r="F23" s="265"/>
      <c r="G23" s="271">
        <v>4</v>
      </c>
      <c r="H23" s="265"/>
      <c r="I23" s="272">
        <v>4.9981900724144985</v>
      </c>
      <c r="J23" s="266"/>
      <c r="K23" s="272">
        <v>4.003303635747387</v>
      </c>
      <c r="L23" s="264"/>
      <c r="M23" s="1165">
        <f t="shared" si="2"/>
        <v>0.0018099275855014696</v>
      </c>
      <c r="N23" s="1166"/>
      <c r="O23" s="1165">
        <f t="shared" si="3"/>
        <v>0.0033036357473870126</v>
      </c>
      <c r="P23" s="1166"/>
      <c r="Q23" s="1165">
        <f t="shared" si="0"/>
        <v>0.01</v>
      </c>
      <c r="R23" s="1166"/>
      <c r="S23" s="1165">
        <f t="shared" si="1"/>
        <v>0.008</v>
      </c>
      <c r="T23" s="1172"/>
      <c r="U23" s="275">
        <v>2.6852500000000004</v>
      </c>
      <c r="V23" s="269"/>
      <c r="W23" s="278">
        <v>2.21725</v>
      </c>
      <c r="X23" s="269"/>
      <c r="Y23" s="278">
        <v>2.683</v>
      </c>
      <c r="Z23" s="269"/>
      <c r="AA23" s="278">
        <v>2.213</v>
      </c>
      <c r="AB23" s="262"/>
      <c r="AC23" s="1165">
        <f t="shared" si="4"/>
        <v>0.0022500000000005294</v>
      </c>
      <c r="AD23" s="1166"/>
      <c r="AE23" s="1165">
        <f t="shared" si="5"/>
        <v>0.004249999999999865</v>
      </c>
      <c r="AF23" s="1166"/>
      <c r="AG23" s="1169">
        <f t="shared" si="6"/>
        <v>0.031</v>
      </c>
      <c r="AH23" s="1170"/>
      <c r="AI23" s="1169">
        <f t="shared" si="7"/>
        <v>0.03</v>
      </c>
      <c r="AJ23" s="1171"/>
      <c r="AK23" s="1173"/>
      <c r="AL23" s="1168"/>
      <c r="AM23" s="1173"/>
      <c r="AN23" s="1168"/>
      <c r="AO23" s="1173"/>
      <c r="AP23" s="1168"/>
      <c r="AQ23" s="1167"/>
      <c r="AR23" s="1198"/>
      <c r="AS23" s="1182"/>
      <c r="AT23" s="1182"/>
      <c r="AU23" s="1182"/>
      <c r="AV23" s="1182"/>
      <c r="AW23" s="1182"/>
      <c r="AX23" s="1183"/>
      <c r="BB23" s="43"/>
      <c r="BC23" s="43"/>
    </row>
    <row r="24" spans="2:55" ht="21" customHeight="1">
      <c r="B24" s="270" t="s">
        <v>680</v>
      </c>
      <c r="C24" s="257"/>
      <c r="D24" s="258"/>
      <c r="E24" s="271">
        <v>5</v>
      </c>
      <c r="F24" s="265"/>
      <c r="G24" s="271">
        <v>4</v>
      </c>
      <c r="H24" s="265"/>
      <c r="I24" s="272">
        <v>5.00068635289743</v>
      </c>
      <c r="J24" s="266"/>
      <c r="K24" s="272">
        <v>3.999224049736775</v>
      </c>
      <c r="L24" s="264"/>
      <c r="M24" s="1165">
        <f t="shared" si="2"/>
        <v>0.0006863528974303534</v>
      </c>
      <c r="N24" s="1166"/>
      <c r="O24" s="1165">
        <f t="shared" si="3"/>
        <v>0.0007759502632249671</v>
      </c>
      <c r="P24" s="1166"/>
      <c r="Q24" s="1165">
        <f t="shared" si="0"/>
        <v>0.01</v>
      </c>
      <c r="R24" s="1166"/>
      <c r="S24" s="1165">
        <f t="shared" si="1"/>
        <v>0.008</v>
      </c>
      <c r="T24" s="1172"/>
      <c r="U24" s="275">
        <v>2.67125</v>
      </c>
      <c r="V24" s="269"/>
      <c r="W24" s="278">
        <v>2.22275</v>
      </c>
      <c r="X24" s="269"/>
      <c r="Y24" s="278">
        <v>2.669</v>
      </c>
      <c r="Z24" s="269"/>
      <c r="AA24" s="278">
        <v>2.22</v>
      </c>
      <c r="AB24" s="262"/>
      <c r="AC24" s="1165">
        <f t="shared" si="4"/>
        <v>0.0022500000000000853</v>
      </c>
      <c r="AD24" s="1166"/>
      <c r="AE24" s="1165">
        <f t="shared" si="5"/>
        <v>0.002749999999999808</v>
      </c>
      <c r="AF24" s="1166"/>
      <c r="AG24" s="1169">
        <f t="shared" si="6"/>
        <v>0.031</v>
      </c>
      <c r="AH24" s="1170"/>
      <c r="AI24" s="1169">
        <f t="shared" si="7"/>
        <v>0.03</v>
      </c>
      <c r="AJ24" s="1171"/>
      <c r="AK24" s="1173"/>
      <c r="AL24" s="1168"/>
      <c r="AM24" s="1173"/>
      <c r="AN24" s="1168"/>
      <c r="AO24" s="1173"/>
      <c r="AP24" s="1168"/>
      <c r="AQ24" s="1167"/>
      <c r="AR24" s="1198"/>
      <c r="AS24" s="1182"/>
      <c r="AT24" s="1182"/>
      <c r="AU24" s="1182"/>
      <c r="AV24" s="1182"/>
      <c r="AW24" s="1182"/>
      <c r="AX24" s="1183"/>
      <c r="BB24" s="43"/>
      <c r="BC24" s="43"/>
    </row>
    <row r="25" spans="2:55" ht="21" customHeight="1">
      <c r="B25" s="270" t="s">
        <v>681</v>
      </c>
      <c r="C25" s="257"/>
      <c r="D25" s="258"/>
      <c r="E25" s="271">
        <v>5</v>
      </c>
      <c r="F25" s="265"/>
      <c r="G25" s="271">
        <v>4</v>
      </c>
      <c r="H25" s="265"/>
      <c r="I25" s="272">
        <v>5.001880646319891</v>
      </c>
      <c r="J25" s="266"/>
      <c r="K25" s="272">
        <v>3.9966188209497524</v>
      </c>
      <c r="L25" s="264"/>
      <c r="M25" s="1165">
        <f t="shared" si="2"/>
        <v>0.0018806463198908219</v>
      </c>
      <c r="N25" s="1166"/>
      <c r="O25" s="1165">
        <f t="shared" si="3"/>
        <v>0.003381179050247596</v>
      </c>
      <c r="P25" s="1166"/>
      <c r="Q25" s="1165">
        <f t="shared" si="0"/>
        <v>0.01</v>
      </c>
      <c r="R25" s="1166"/>
      <c r="S25" s="1165">
        <f t="shared" si="1"/>
        <v>0.008</v>
      </c>
      <c r="T25" s="1172"/>
      <c r="U25" s="275">
        <v>2.76125</v>
      </c>
      <c r="V25" s="269"/>
      <c r="W25" s="278">
        <v>2.22875</v>
      </c>
      <c r="X25" s="269"/>
      <c r="Y25" s="278">
        <v>2.759</v>
      </c>
      <c r="Z25" s="269"/>
      <c r="AA25" s="278">
        <v>2.226</v>
      </c>
      <c r="AB25" s="262"/>
      <c r="AC25" s="1165">
        <f t="shared" si="4"/>
        <v>0.0022500000000000853</v>
      </c>
      <c r="AD25" s="1166"/>
      <c r="AE25" s="1165">
        <f t="shared" si="5"/>
        <v>0.002749999999999808</v>
      </c>
      <c r="AF25" s="1166"/>
      <c r="AG25" s="1169">
        <f t="shared" si="6"/>
        <v>0.031</v>
      </c>
      <c r="AH25" s="1170"/>
      <c r="AI25" s="1169">
        <f t="shared" si="7"/>
        <v>0.03</v>
      </c>
      <c r="AJ25" s="1171"/>
      <c r="AK25" s="1174"/>
      <c r="AL25" s="1175"/>
      <c r="AM25" s="1167"/>
      <c r="AN25" s="1168"/>
      <c r="AO25" s="1173"/>
      <c r="AP25" s="1168"/>
      <c r="AQ25" s="1167"/>
      <c r="AR25" s="1198"/>
      <c r="AS25" s="1182"/>
      <c r="AT25" s="1182"/>
      <c r="AU25" s="1182"/>
      <c r="AV25" s="1182"/>
      <c r="AW25" s="1182"/>
      <c r="AX25" s="1183"/>
      <c r="BB25" s="43"/>
      <c r="BC25" s="43"/>
    </row>
    <row r="26" spans="2:55" ht="21" customHeight="1">
      <c r="B26" s="270" t="s">
        <v>636</v>
      </c>
      <c r="C26" s="257"/>
      <c r="D26" s="258"/>
      <c r="E26" s="271">
        <v>5</v>
      </c>
      <c r="F26" s="265"/>
      <c r="G26" s="271">
        <v>4</v>
      </c>
      <c r="H26" s="265"/>
      <c r="I26" s="272">
        <v>5.001008098373363</v>
      </c>
      <c r="J26" s="266"/>
      <c r="K26" s="272">
        <v>3.9990061265252286</v>
      </c>
      <c r="L26" s="264"/>
      <c r="M26" s="1165">
        <f t="shared" si="2"/>
        <v>0.001008098373363353</v>
      </c>
      <c r="N26" s="1166"/>
      <c r="O26" s="1165">
        <f t="shared" si="3"/>
        <v>0.0009938734747714228</v>
      </c>
      <c r="P26" s="1166"/>
      <c r="Q26" s="1165">
        <f t="shared" si="0"/>
        <v>0.01</v>
      </c>
      <c r="R26" s="1166"/>
      <c r="S26" s="1165">
        <f t="shared" si="1"/>
        <v>0.008</v>
      </c>
      <c r="T26" s="1172"/>
      <c r="U26" s="275">
        <v>2.7307500000000005</v>
      </c>
      <c r="V26" s="269"/>
      <c r="W26" s="278">
        <v>2.2372499999999995</v>
      </c>
      <c r="X26" s="269"/>
      <c r="Y26" s="278">
        <v>2.7279999999999998</v>
      </c>
      <c r="Z26" s="269"/>
      <c r="AA26" s="278">
        <v>2.235</v>
      </c>
      <c r="AB26" s="262"/>
      <c r="AC26" s="1165">
        <f t="shared" si="4"/>
        <v>0.0027500000000006963</v>
      </c>
      <c r="AD26" s="1166"/>
      <c r="AE26" s="1165">
        <f t="shared" si="5"/>
        <v>0.002249999999999641</v>
      </c>
      <c r="AF26" s="1166"/>
      <c r="AG26" s="1169">
        <f t="shared" si="6"/>
        <v>0.031</v>
      </c>
      <c r="AH26" s="1170"/>
      <c r="AI26" s="1169">
        <f t="shared" si="7"/>
        <v>0.03</v>
      </c>
      <c r="AJ26" s="1171"/>
      <c r="AK26" s="1173"/>
      <c r="AL26" s="1168"/>
      <c r="AM26" s="1174"/>
      <c r="AN26" s="1175"/>
      <c r="AO26" s="1167"/>
      <c r="AP26" s="1168"/>
      <c r="AQ26" s="1167"/>
      <c r="AR26" s="1198"/>
      <c r="AS26" s="1182"/>
      <c r="AT26" s="1182"/>
      <c r="AU26" s="1182"/>
      <c r="AV26" s="1182"/>
      <c r="AW26" s="1182"/>
      <c r="AX26" s="1183"/>
      <c r="BB26" s="43"/>
      <c r="BC26" s="43"/>
    </row>
    <row r="27" spans="2:55" ht="21" customHeight="1">
      <c r="B27" s="270" t="s">
        <v>637</v>
      </c>
      <c r="C27" s="257"/>
      <c r="D27" s="258"/>
      <c r="E27" s="271">
        <v>5</v>
      </c>
      <c r="F27" s="265"/>
      <c r="G27" s="271">
        <v>4</v>
      </c>
      <c r="H27" s="265"/>
      <c r="I27" s="272">
        <v>5.001008098373363</v>
      </c>
      <c r="J27" s="266"/>
      <c r="K27" s="272">
        <v>3.9994422111089096</v>
      </c>
      <c r="L27" s="264"/>
      <c r="M27" s="1165">
        <f t="shared" si="2"/>
        <v>0.001008098373363353</v>
      </c>
      <c r="N27" s="1166"/>
      <c r="O27" s="1165">
        <f t="shared" si="3"/>
        <v>0.0005577888910903717</v>
      </c>
      <c r="P27" s="1166"/>
      <c r="Q27" s="1165">
        <f t="shared" si="0"/>
        <v>0.01</v>
      </c>
      <c r="R27" s="1166"/>
      <c r="S27" s="1165">
        <f t="shared" si="1"/>
        <v>0.008</v>
      </c>
      <c r="T27" s="1172"/>
      <c r="U27" s="275">
        <v>2.56625</v>
      </c>
      <c r="V27" s="269"/>
      <c r="W27" s="278">
        <v>2.2642499999999997</v>
      </c>
      <c r="X27" s="269"/>
      <c r="Y27" s="278">
        <v>2.565</v>
      </c>
      <c r="Z27" s="269"/>
      <c r="AA27" s="278">
        <v>2.262</v>
      </c>
      <c r="AB27" s="262"/>
      <c r="AC27" s="1165">
        <f t="shared" si="4"/>
        <v>0.0012500000000001954</v>
      </c>
      <c r="AD27" s="1166"/>
      <c r="AE27" s="1165">
        <f t="shared" si="5"/>
        <v>0.002249999999999641</v>
      </c>
      <c r="AF27" s="1166"/>
      <c r="AG27" s="1169">
        <f t="shared" si="6"/>
        <v>0.031</v>
      </c>
      <c r="AH27" s="1170"/>
      <c r="AI27" s="1169">
        <f t="shared" si="7"/>
        <v>0.03</v>
      </c>
      <c r="AJ27" s="1171"/>
      <c r="AK27" s="1174"/>
      <c r="AL27" s="1175"/>
      <c r="AM27" s="1167"/>
      <c r="AN27" s="1168"/>
      <c r="AO27" s="1174"/>
      <c r="AP27" s="1175"/>
      <c r="AQ27" s="1167"/>
      <c r="AR27" s="1198"/>
      <c r="AS27" s="1182"/>
      <c r="AT27" s="1182"/>
      <c r="AU27" s="1182"/>
      <c r="AV27" s="1182"/>
      <c r="AW27" s="1182"/>
      <c r="AX27" s="1183"/>
      <c r="BB27" s="43"/>
      <c r="BC27" s="43"/>
    </row>
    <row r="28" spans="2:55" ht="21" customHeight="1">
      <c r="B28" s="270" t="s">
        <v>638</v>
      </c>
      <c r="C28" s="257"/>
      <c r="D28" s="258"/>
      <c r="E28" s="271">
        <v>5</v>
      </c>
      <c r="F28" s="265"/>
      <c r="G28" s="271">
        <v>4</v>
      </c>
      <c r="H28" s="265"/>
      <c r="I28" s="272">
        <v>5.001225949705164</v>
      </c>
      <c r="J28" s="266"/>
      <c r="K28" s="272">
        <v>4.001073855857256</v>
      </c>
      <c r="L28" s="264"/>
      <c r="M28" s="1165">
        <f t="shared" si="2"/>
        <v>0.0012259497051640977</v>
      </c>
      <c r="N28" s="1166"/>
      <c r="O28" s="1165">
        <f t="shared" si="3"/>
        <v>0.0010738558572560564</v>
      </c>
      <c r="P28" s="1166"/>
      <c r="Q28" s="1165">
        <f t="shared" si="0"/>
        <v>0.01</v>
      </c>
      <c r="R28" s="1166"/>
      <c r="S28" s="1165">
        <f t="shared" si="1"/>
        <v>0.008</v>
      </c>
      <c r="T28" s="1172"/>
      <c r="U28" s="275">
        <v>2.4892500000000006</v>
      </c>
      <c r="V28" s="269"/>
      <c r="W28" s="278">
        <v>2.33975</v>
      </c>
      <c r="X28" s="269"/>
      <c r="Y28" s="278">
        <v>2.489</v>
      </c>
      <c r="Z28" s="269"/>
      <c r="AA28" s="278">
        <v>2.338</v>
      </c>
      <c r="AB28" s="262"/>
      <c r="AC28" s="1165">
        <f t="shared" si="4"/>
        <v>0.0002500000000007496</v>
      </c>
      <c r="AD28" s="1166"/>
      <c r="AE28" s="1165">
        <f t="shared" si="5"/>
        <v>0.0017499999999999183</v>
      </c>
      <c r="AF28" s="1166"/>
      <c r="AG28" s="1169">
        <f t="shared" si="6"/>
        <v>0.031</v>
      </c>
      <c r="AH28" s="1170"/>
      <c r="AI28" s="1169">
        <f t="shared" si="7"/>
        <v>0.03</v>
      </c>
      <c r="AJ28" s="1171"/>
      <c r="AK28" s="1174"/>
      <c r="AL28" s="1175"/>
      <c r="AM28" s="1181"/>
      <c r="AN28" s="1175"/>
      <c r="AO28" s="1167"/>
      <c r="AP28" s="1168"/>
      <c r="AQ28" s="1174"/>
      <c r="AR28" s="1203"/>
      <c r="AS28" s="1182"/>
      <c r="AT28" s="1182"/>
      <c r="AU28" s="1182"/>
      <c r="AV28" s="1182"/>
      <c r="AW28" s="1182"/>
      <c r="AX28" s="1183"/>
      <c r="BB28" s="43"/>
      <c r="BC28" s="43"/>
    </row>
    <row r="29" spans="2:55" ht="21" customHeight="1">
      <c r="B29" s="270" t="s">
        <v>682</v>
      </c>
      <c r="C29" s="257"/>
      <c r="D29" s="258"/>
      <c r="E29" s="271">
        <v>5</v>
      </c>
      <c r="F29" s="265"/>
      <c r="G29" s="271">
        <v>4</v>
      </c>
      <c r="H29" s="265"/>
      <c r="I29" s="271">
        <v>5.001114775723581</v>
      </c>
      <c r="J29" s="265"/>
      <c r="K29" s="271">
        <v>3.997812401805737</v>
      </c>
      <c r="L29" s="263"/>
      <c r="M29" s="1165">
        <f t="shared" si="2"/>
        <v>0.0011147757235807632</v>
      </c>
      <c r="N29" s="1166"/>
      <c r="O29" s="1165">
        <f t="shared" si="3"/>
        <v>0.002187598194263174</v>
      </c>
      <c r="P29" s="1166"/>
      <c r="Q29" s="1165">
        <f t="shared" si="0"/>
        <v>0.01</v>
      </c>
      <c r="R29" s="1166"/>
      <c r="S29" s="1165">
        <f t="shared" si="1"/>
        <v>0.008</v>
      </c>
      <c r="T29" s="1172"/>
      <c r="U29" s="275">
        <v>2.4352500000000004</v>
      </c>
      <c r="V29" s="269"/>
      <c r="W29" s="278">
        <v>2.33525</v>
      </c>
      <c r="X29" s="269"/>
      <c r="Y29" s="278">
        <v>2.435</v>
      </c>
      <c r="Z29" s="269"/>
      <c r="AA29" s="278">
        <v>2.336</v>
      </c>
      <c r="AB29" s="262"/>
      <c r="AC29" s="1165">
        <f t="shared" si="4"/>
        <v>0.00025000000000030553</v>
      </c>
      <c r="AD29" s="1166"/>
      <c r="AE29" s="1165">
        <f t="shared" si="5"/>
        <v>0.0007500000000000284</v>
      </c>
      <c r="AF29" s="1166"/>
      <c r="AG29" s="1165">
        <f t="shared" si="6"/>
        <v>0.031</v>
      </c>
      <c r="AH29" s="1166"/>
      <c r="AI29" s="1165">
        <f t="shared" si="7"/>
        <v>0.03</v>
      </c>
      <c r="AJ29" s="1172"/>
      <c r="AK29" s="1174"/>
      <c r="AL29" s="1175"/>
      <c r="AM29" s="1181"/>
      <c r="AN29" s="1175"/>
      <c r="AO29" s="1181"/>
      <c r="AP29" s="1175"/>
      <c r="AQ29" s="1174"/>
      <c r="AR29" s="1203"/>
      <c r="AS29" s="1193"/>
      <c r="AT29" s="1193"/>
      <c r="AU29" s="1193"/>
      <c r="AV29" s="1193"/>
      <c r="AW29" s="1193"/>
      <c r="AX29" s="1194"/>
      <c r="BB29" s="43"/>
      <c r="BC29" s="43"/>
    </row>
    <row r="30" spans="2:54" ht="12.7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5"/>
      <c r="BB30" s="43"/>
    </row>
    <row r="31" spans="2:54" ht="12.75">
      <c r="B31" s="63"/>
      <c r="C31" s="63"/>
      <c r="D31" s="63"/>
      <c r="E31" s="63"/>
      <c r="F31" s="63"/>
      <c r="G31" s="63"/>
      <c r="H31" s="63"/>
      <c r="I31" s="63"/>
      <c r="J31" s="63"/>
      <c r="K31" s="63"/>
      <c r="BB31" s="43"/>
    </row>
    <row r="32" ht="15.75">
      <c r="B32" s="296" t="s">
        <v>0</v>
      </c>
    </row>
    <row r="33" ht="15.75">
      <c r="B33" s="301" t="s">
        <v>13</v>
      </c>
    </row>
    <row r="34" ht="15.75">
      <c r="B34" s="302" t="s">
        <v>14</v>
      </c>
    </row>
  </sheetData>
  <sheetProtection formatCells="0"/>
  <mergeCells count="262">
    <mergeCell ref="B1:AX1"/>
    <mergeCell ref="B4:AX4"/>
    <mergeCell ref="B6:AX6"/>
    <mergeCell ref="B11:AX11"/>
    <mergeCell ref="M10:O10"/>
    <mergeCell ref="X9:Z9"/>
    <mergeCell ref="X10:Z10"/>
    <mergeCell ref="AA9:AF9"/>
    <mergeCell ref="AA10:AF10"/>
    <mergeCell ref="P9:W9"/>
    <mergeCell ref="B9:D9"/>
    <mergeCell ref="B10:D10"/>
    <mergeCell ref="E9:L9"/>
    <mergeCell ref="E10:L10"/>
    <mergeCell ref="B7:AX7"/>
    <mergeCell ref="U5:X5"/>
    <mergeCell ref="B5:E5"/>
    <mergeCell ref="B3:AX3"/>
    <mergeCell ref="AN5:AX5"/>
    <mergeCell ref="F5:T5"/>
    <mergeCell ref="Y5:AM5"/>
    <mergeCell ref="B2:E2"/>
    <mergeCell ref="F2:AX2"/>
    <mergeCell ref="AK27:AL27"/>
    <mergeCell ref="AK28:AL28"/>
    <mergeCell ref="AM28:AN28"/>
    <mergeCell ref="AM24:AN24"/>
    <mergeCell ref="AM25:AN25"/>
    <mergeCell ref="AM27:AN27"/>
    <mergeCell ref="AQ27:AR27"/>
    <mergeCell ref="AQ28:AR28"/>
    <mergeCell ref="AK29:AL29"/>
    <mergeCell ref="B12:D14"/>
    <mergeCell ref="AK23:AL23"/>
    <mergeCell ref="AK24:AL24"/>
    <mergeCell ref="AK25:AL25"/>
    <mergeCell ref="AK26:AL26"/>
    <mergeCell ref="AG13:AJ13"/>
    <mergeCell ref="AC13:AF13"/>
    <mergeCell ref="U13:X13"/>
    <mergeCell ref="K14:L14"/>
    <mergeCell ref="AM29:AN29"/>
    <mergeCell ref="AK15:AL15"/>
    <mergeCell ref="AK16:AL16"/>
    <mergeCell ref="AK17:AL17"/>
    <mergeCell ref="AK18:AL18"/>
    <mergeCell ref="AK19:AL19"/>
    <mergeCell ref="AK20:AL20"/>
    <mergeCell ref="AK21:AL21"/>
    <mergeCell ref="AK22:AL22"/>
    <mergeCell ref="AM23:AN23"/>
    <mergeCell ref="AQ29:AR29"/>
    <mergeCell ref="AM15:AN15"/>
    <mergeCell ref="AM16:AN16"/>
    <mergeCell ref="AM17:AN17"/>
    <mergeCell ref="AM18:AN18"/>
    <mergeCell ref="AM19:AN19"/>
    <mergeCell ref="AM20:AN20"/>
    <mergeCell ref="AM21:AN21"/>
    <mergeCell ref="AQ23:AR23"/>
    <mergeCell ref="AQ24:AR24"/>
    <mergeCell ref="AQ25:AR25"/>
    <mergeCell ref="AQ26:AR26"/>
    <mergeCell ref="AQ19:AR19"/>
    <mergeCell ref="AQ20:AR20"/>
    <mergeCell ref="AQ21:AR21"/>
    <mergeCell ref="AQ22:AR22"/>
    <mergeCell ref="AQ15:AR15"/>
    <mergeCell ref="AQ16:AR16"/>
    <mergeCell ref="AQ17:AR17"/>
    <mergeCell ref="AQ18:AR18"/>
    <mergeCell ref="Q13:T13"/>
    <mergeCell ref="M13:P13"/>
    <mergeCell ref="M14:N14"/>
    <mergeCell ref="O14:P14"/>
    <mergeCell ref="Q14:R14"/>
    <mergeCell ref="E13:H13"/>
    <mergeCell ref="G14:H14"/>
    <mergeCell ref="E14:F14"/>
    <mergeCell ref="I13:L13"/>
    <mergeCell ref="I14:J14"/>
    <mergeCell ref="AG28:AH28"/>
    <mergeCell ref="AG29:AH29"/>
    <mergeCell ref="S14:T14"/>
    <mergeCell ref="AG22:AH22"/>
    <mergeCell ref="AG23:AH23"/>
    <mergeCell ref="AG24:AH24"/>
    <mergeCell ref="AG25:AH25"/>
    <mergeCell ref="AC27:AD27"/>
    <mergeCell ref="AC28:AD28"/>
    <mergeCell ref="AC29:AD29"/>
    <mergeCell ref="AI28:AJ28"/>
    <mergeCell ref="AI29:AJ29"/>
    <mergeCell ref="AG15:AH15"/>
    <mergeCell ref="AG16:AH16"/>
    <mergeCell ref="AG17:AH17"/>
    <mergeCell ref="AG18:AH18"/>
    <mergeCell ref="AG19:AH19"/>
    <mergeCell ref="AG20:AH20"/>
    <mergeCell ref="AG21:AH21"/>
    <mergeCell ref="AG27:AH27"/>
    <mergeCell ref="AI17:AJ17"/>
    <mergeCell ref="AI18:AJ18"/>
    <mergeCell ref="AI23:AJ23"/>
    <mergeCell ref="AI19:AJ19"/>
    <mergeCell ref="AI20:AJ20"/>
    <mergeCell ref="AI21:AJ21"/>
    <mergeCell ref="AI22:AJ22"/>
    <mergeCell ref="AI25:AJ25"/>
    <mergeCell ref="AI27:AJ27"/>
    <mergeCell ref="AE24:AF24"/>
    <mergeCell ref="AE25:AF25"/>
    <mergeCell ref="AI24:AJ24"/>
    <mergeCell ref="AE27:AF27"/>
    <mergeCell ref="S27:T27"/>
    <mergeCell ref="AC20:AD20"/>
    <mergeCell ref="AE16:AF16"/>
    <mergeCell ref="AE17:AF17"/>
    <mergeCell ref="AE18:AF18"/>
    <mergeCell ref="AE19:AF19"/>
    <mergeCell ref="AC18:AD18"/>
    <mergeCell ref="AC19:AD19"/>
    <mergeCell ref="AC24:AD24"/>
    <mergeCell ref="AC25:AD25"/>
    <mergeCell ref="S28:T28"/>
    <mergeCell ref="S29:T29"/>
    <mergeCell ref="AE29:AF29"/>
    <mergeCell ref="AE28:AF28"/>
    <mergeCell ref="Q27:R27"/>
    <mergeCell ref="Q25:R25"/>
    <mergeCell ref="Q24:R24"/>
    <mergeCell ref="S19:T19"/>
    <mergeCell ref="S20:T20"/>
    <mergeCell ref="S21:T21"/>
    <mergeCell ref="S22:T22"/>
    <mergeCell ref="S24:T24"/>
    <mergeCell ref="S25:T25"/>
    <mergeCell ref="S26:T26"/>
    <mergeCell ref="AS29:AX29"/>
    <mergeCell ref="AS26:AX26"/>
    <mergeCell ref="AO25:AP25"/>
    <mergeCell ref="M24:N24"/>
    <mergeCell ref="AO24:AP24"/>
    <mergeCell ref="O24:P24"/>
    <mergeCell ref="O28:P28"/>
    <mergeCell ref="O29:P29"/>
    <mergeCell ref="Q28:R28"/>
    <mergeCell ref="Q29:R29"/>
    <mergeCell ref="AS18:AX18"/>
    <mergeCell ref="AS19:AX19"/>
    <mergeCell ref="AS27:AX27"/>
    <mergeCell ref="AS28:AX28"/>
    <mergeCell ref="AS9:AW9"/>
    <mergeCell ref="AS10:AX10"/>
    <mergeCell ref="AS24:AX24"/>
    <mergeCell ref="AS25:AX25"/>
    <mergeCell ref="AS20:AX20"/>
    <mergeCell ref="AS21:AX21"/>
    <mergeCell ref="AS16:AX16"/>
    <mergeCell ref="AS17:AX17"/>
    <mergeCell ref="AS22:AX22"/>
    <mergeCell ref="AS15:AX15"/>
    <mergeCell ref="AO23:AP23"/>
    <mergeCell ref="AS23:AX23"/>
    <mergeCell ref="O23:P23"/>
    <mergeCell ref="Q23:R23"/>
    <mergeCell ref="S23:T23"/>
    <mergeCell ref="AE23:AF23"/>
    <mergeCell ref="AC23:AD23"/>
    <mergeCell ref="AO26:AP26"/>
    <mergeCell ref="O26:P26"/>
    <mergeCell ref="AE26:AF26"/>
    <mergeCell ref="AC26:AD26"/>
    <mergeCell ref="AI26:AJ26"/>
    <mergeCell ref="AG26:AH26"/>
    <mergeCell ref="AM26:AN26"/>
    <mergeCell ref="Q26:R26"/>
    <mergeCell ref="AM22:AN22"/>
    <mergeCell ref="AC22:AD22"/>
    <mergeCell ref="AO22:AP22"/>
    <mergeCell ref="AE22:AF22"/>
    <mergeCell ref="AS12:AX14"/>
    <mergeCell ref="B8:AX8"/>
    <mergeCell ref="M29:N29"/>
    <mergeCell ref="AO29:AP29"/>
    <mergeCell ref="M27:N27"/>
    <mergeCell ref="AO27:AP27"/>
    <mergeCell ref="O21:P21"/>
    <mergeCell ref="O22:P22"/>
    <mergeCell ref="Q22:R22"/>
    <mergeCell ref="AO28:AP28"/>
    <mergeCell ref="AE21:AF21"/>
    <mergeCell ref="M21:N21"/>
    <mergeCell ref="AO21:AP21"/>
    <mergeCell ref="O20:P20"/>
    <mergeCell ref="Q20:R20"/>
    <mergeCell ref="Q21:R21"/>
    <mergeCell ref="AE20:AF20"/>
    <mergeCell ref="AO19:AP19"/>
    <mergeCell ref="M20:N20"/>
    <mergeCell ref="AO20:AP20"/>
    <mergeCell ref="O19:P19"/>
    <mergeCell ref="Q19:R19"/>
    <mergeCell ref="M17:N17"/>
    <mergeCell ref="M28:N28"/>
    <mergeCell ref="M22:N22"/>
    <mergeCell ref="AC21:AD21"/>
    <mergeCell ref="M26:N26"/>
    <mergeCell ref="M23:N23"/>
    <mergeCell ref="M25:N25"/>
    <mergeCell ref="O25:P25"/>
    <mergeCell ref="O27:P27"/>
    <mergeCell ref="M19:N19"/>
    <mergeCell ref="AO17:AP17"/>
    <mergeCell ref="M18:N18"/>
    <mergeCell ref="AO18:AP18"/>
    <mergeCell ref="O17:P17"/>
    <mergeCell ref="O18:P18"/>
    <mergeCell ref="Q17:R17"/>
    <mergeCell ref="Q18:R18"/>
    <mergeCell ref="S17:T17"/>
    <mergeCell ref="S18:T18"/>
    <mergeCell ref="AC17:AD17"/>
    <mergeCell ref="M16:N16"/>
    <mergeCell ref="AO16:AP16"/>
    <mergeCell ref="O15:P15"/>
    <mergeCell ref="O16:P16"/>
    <mergeCell ref="S15:T15"/>
    <mergeCell ref="S16:T16"/>
    <mergeCell ref="Q15:R15"/>
    <mergeCell ref="Q16:R16"/>
    <mergeCell ref="AC16:AD16"/>
    <mergeCell ref="AI16:AJ16"/>
    <mergeCell ref="M15:N15"/>
    <mergeCell ref="AO15:AP15"/>
    <mergeCell ref="AC15:AD15"/>
    <mergeCell ref="AI15:AJ15"/>
    <mergeCell ref="AE15:AF15"/>
    <mergeCell ref="AI14:AJ14"/>
    <mergeCell ref="AG14:AH14"/>
    <mergeCell ref="AE14:AF14"/>
    <mergeCell ref="U12:AJ12"/>
    <mergeCell ref="AC14:AD14"/>
    <mergeCell ref="AA14:AB14"/>
    <mergeCell ref="Y14:Z14"/>
    <mergeCell ref="W14:X14"/>
    <mergeCell ref="U14:V14"/>
    <mergeCell ref="Y13:AB13"/>
    <mergeCell ref="AM13:AR13"/>
    <mergeCell ref="AM14:AR14"/>
    <mergeCell ref="AK13:AL13"/>
    <mergeCell ref="AK14:AL14"/>
    <mergeCell ref="E12:T12"/>
    <mergeCell ref="AP9:AR9"/>
    <mergeCell ref="AG9:AI9"/>
    <mergeCell ref="AK12:AR12"/>
    <mergeCell ref="AG10:AI10"/>
    <mergeCell ref="P10:W10"/>
    <mergeCell ref="AP10:AR10"/>
    <mergeCell ref="AJ9:AO9"/>
    <mergeCell ref="AJ10:AN10"/>
    <mergeCell ref="M9:O9"/>
  </mergeCells>
  <conditionalFormatting sqref="AC15:AF29 M15:P29">
    <cfRule type="cellIs" priority="1" dxfId="4" operator="greaterThan" stopIfTrue="1">
      <formula>Q15</formula>
    </cfRule>
  </conditionalFormatting>
  <conditionalFormatting sqref="Y5">
    <cfRule type="cellIs" priority="2" dxfId="4" operator="equal" stopIfTrue="1">
      <formula>$BB$14</formula>
    </cfRule>
  </conditionalFormatting>
  <conditionalFormatting sqref="F5">
    <cfRule type="cellIs" priority="3" dxfId="4" operator="equal" stopIfTrue="1">
      <formula>$BB$18</formula>
    </cfRule>
  </conditionalFormatting>
  <conditionalFormatting sqref="AK12:AR12">
    <cfRule type="cellIs" priority="4" dxfId="6" operator="equal" stopIfTrue="1">
      <formula>"地形を選択してください"</formula>
    </cfRule>
  </conditionalFormatting>
  <dataValidations count="2">
    <dataValidation type="list" allowBlank="1" showInputMessage="1" showErrorMessage="1" sqref="Y5">
      <formula1>$BB$14:$BB$16</formula1>
    </dataValidation>
    <dataValidation type="list" allowBlank="1" showInputMessage="1" showErrorMessage="1" sqref="F5:T5">
      <formula1>$BB$18:$BB$22</formula1>
    </dataValidation>
  </dataValidations>
  <hyperlinks>
    <hyperlink ref="B2:E2" location="業務情報!A1" tooltip="業務情報シートに移動" display="業務情報"/>
  </hyperlinks>
  <printOptions horizontalCentered="1" verticalCentered="1"/>
  <pageMargins left="0.5905511811023623" right="0.5905511811023623" top="0.984251968503937" bottom="0.7874015748031497" header="0.5118110236220472" footer="0.5118110236220472"/>
  <pageSetup blackAndWhite="1" horizontalDpi="600" verticalDpi="600" orientation="landscape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0">
    <tabColor indexed="46"/>
    <pageSetUpPr fitToPage="1"/>
  </sheetPr>
  <dimension ref="A1:BA27"/>
  <sheetViews>
    <sheetView showGridLines="0" showRowColHeaders="0" workbookViewId="0" topLeftCell="A1">
      <selection activeCell="A1" sqref="A1"/>
    </sheetView>
  </sheetViews>
  <sheetFormatPr defaultColWidth="8.625" defaultRowHeight="13.5"/>
  <cols>
    <col min="1" max="1" width="5.00390625" style="12" customWidth="1"/>
    <col min="2" max="13" width="2.75390625" style="12" customWidth="1"/>
    <col min="14" max="33" width="2.75390625" style="0" customWidth="1"/>
    <col min="34" max="37" width="2.75390625" style="7" customWidth="1"/>
    <col min="38" max="50" width="2.75390625" style="0" customWidth="1"/>
    <col min="51" max="52" width="10.75390625" style="0" customWidth="1"/>
    <col min="53" max="53" width="19.125" style="97" hidden="1" customWidth="1"/>
    <col min="54" max="54" width="10.75390625" style="0" customWidth="1"/>
  </cols>
  <sheetData>
    <row r="1" spans="2:53" ht="19.5" customHeight="1"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BA1" s="37"/>
    </row>
    <row r="2" spans="1:53" ht="24" customHeight="1">
      <c r="A2"/>
      <c r="B2" s="1246" t="s">
        <v>388</v>
      </c>
      <c r="C2" s="1246"/>
      <c r="D2" s="1246"/>
      <c r="E2" s="1246"/>
      <c r="F2" s="1247" t="s">
        <v>387</v>
      </c>
      <c r="G2" s="1247"/>
      <c r="H2" s="1247"/>
      <c r="I2" s="1247"/>
      <c r="J2" s="1247"/>
      <c r="K2" s="1247"/>
      <c r="L2" s="1247"/>
      <c r="M2" s="1247"/>
      <c r="N2" s="1247"/>
      <c r="O2" s="1247"/>
      <c r="P2" s="1247"/>
      <c r="Q2" s="1247"/>
      <c r="R2" s="1247"/>
      <c r="S2" s="1247"/>
      <c r="T2" s="1247"/>
      <c r="U2" s="1247"/>
      <c r="V2" s="1247"/>
      <c r="W2" s="1247"/>
      <c r="X2" s="1247"/>
      <c r="Y2" s="1247"/>
      <c r="Z2" s="1247"/>
      <c r="AA2" s="1247"/>
      <c r="AB2" s="1247"/>
      <c r="AC2" s="1247"/>
      <c r="AD2" s="1247"/>
      <c r="AE2" s="1247"/>
      <c r="AF2" s="1247"/>
      <c r="AG2" s="1247"/>
      <c r="AH2" s="1247"/>
      <c r="AI2" s="1247"/>
      <c r="AJ2" s="1247"/>
      <c r="AK2" s="1247"/>
      <c r="AL2" s="1247"/>
      <c r="AM2" s="1247"/>
      <c r="AN2" s="1247"/>
      <c r="AO2" s="1247"/>
      <c r="AP2" s="1247"/>
      <c r="AQ2" s="1247"/>
      <c r="AR2" s="1247"/>
      <c r="AS2" s="1247"/>
      <c r="AT2" s="1247"/>
      <c r="AU2" s="1247"/>
      <c r="AV2" s="1247"/>
      <c r="AW2" s="1247"/>
      <c r="AX2" s="1247"/>
      <c r="BA2" s="37"/>
    </row>
    <row r="3" spans="1:53" ht="21" customHeight="1">
      <c r="A3"/>
      <c r="B3" s="605" t="s">
        <v>44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BA3" s="37"/>
    </row>
    <row r="4" spans="1:53" ht="21" customHeight="1" thickBot="1">
      <c r="A4"/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BA4" s="37"/>
    </row>
    <row r="5" spans="1:53" ht="24" customHeight="1" thickBot="1">
      <c r="A5"/>
      <c r="B5" s="1121" t="s">
        <v>384</v>
      </c>
      <c r="C5" s="1122"/>
      <c r="D5" s="1122"/>
      <c r="E5" s="1123"/>
      <c r="F5" s="472" t="s">
        <v>112</v>
      </c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4"/>
      <c r="T5" s="1121" t="s">
        <v>389</v>
      </c>
      <c r="U5" s="1122"/>
      <c r="V5" s="1122"/>
      <c r="W5" s="1123"/>
      <c r="X5" s="472" t="s">
        <v>506</v>
      </c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1235" t="s">
        <v>500</v>
      </c>
      <c r="AK5" s="1236"/>
      <c r="AL5" s="1236"/>
      <c r="AM5" s="1237"/>
      <c r="AN5" s="807" t="s">
        <v>502</v>
      </c>
      <c r="AO5" s="808"/>
      <c r="AP5" s="808"/>
      <c r="AQ5" s="808"/>
      <c r="AR5" s="808"/>
      <c r="AS5" s="808"/>
      <c r="AT5" s="808"/>
      <c r="AU5" s="808"/>
      <c r="AV5" s="808"/>
      <c r="AW5" s="808"/>
      <c r="AX5" s="809"/>
      <c r="BA5" s="37"/>
    </row>
    <row r="6" spans="2:53" ht="21.75" customHeight="1"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BA6" s="37"/>
    </row>
    <row r="7" spans="2:53" ht="30" customHeight="1">
      <c r="B7" s="462" t="str">
        <f>IF($F$5=$BA$21,"細区分を選択してください",$F$5&amp;" 精 度 管 理 表")</f>
        <v>縦 断 測 量 精 度 管 理 表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BA7" s="37"/>
    </row>
    <row r="8" spans="1:53" ht="18.75" customHeight="1">
      <c r="A8" s="14"/>
      <c r="B8" s="1241" t="s">
        <v>110</v>
      </c>
      <c r="C8" s="1241"/>
      <c r="D8" s="1241"/>
      <c r="E8" s="1241"/>
      <c r="F8" s="1241"/>
      <c r="G8" s="1241"/>
      <c r="H8" s="1241"/>
      <c r="I8" s="1241"/>
      <c r="J8" s="1241"/>
      <c r="K8" s="1241"/>
      <c r="L8" s="1241"/>
      <c r="M8" s="1241"/>
      <c r="N8" s="1241"/>
      <c r="O8" s="1241"/>
      <c r="P8" s="1241"/>
      <c r="Q8" s="1241"/>
      <c r="R8" s="1241"/>
      <c r="S8" s="1241"/>
      <c r="T8" s="1241"/>
      <c r="U8" s="1241"/>
      <c r="V8" s="1241"/>
      <c r="W8" s="1241"/>
      <c r="X8" s="1241"/>
      <c r="Y8" s="1241"/>
      <c r="Z8" s="1241"/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1"/>
      <c r="AN8" s="1241"/>
      <c r="AO8" s="1241"/>
      <c r="AP8" s="1241"/>
      <c r="AQ8" s="1241"/>
      <c r="AR8" s="1241"/>
      <c r="AS8" s="1241"/>
      <c r="AT8" s="1241"/>
      <c r="AU8" s="1241"/>
      <c r="AV8" s="1241"/>
      <c r="AW8" s="1241"/>
      <c r="AX8" s="1241"/>
      <c r="BA8" s="90" t="str">
        <f>IF(OR(BA10=1,BA11=1,BA12=1),"False","True")</f>
        <v>True</v>
      </c>
    </row>
    <row r="9" spans="1:53" ht="30" customHeight="1">
      <c r="A9" s="15"/>
      <c r="B9" s="369" t="s">
        <v>45</v>
      </c>
      <c r="C9" s="370"/>
      <c r="D9" s="371"/>
      <c r="E9" s="503" t="str">
        <f>IF($BJ$12=1,"",IF('業務情報'!$C$3="","",IF('業務情報'!$C$3="","",'業務情報'!$C$3)))</f>
        <v>平成２６年度
○○測量業務</v>
      </c>
      <c r="F9" s="504"/>
      <c r="G9" s="504"/>
      <c r="H9" s="504"/>
      <c r="I9" s="504"/>
      <c r="J9" s="504"/>
      <c r="K9" s="504"/>
      <c r="L9" s="505"/>
      <c r="M9" s="369" t="s">
        <v>46</v>
      </c>
      <c r="N9" s="370"/>
      <c r="O9" s="371"/>
      <c r="P9" s="500" t="str">
        <f>IF($BJ$12=1,"",IF('業務情報'!$C$6="","",'業務情報'!$C$6))</f>
        <v>○○市　○○地区</v>
      </c>
      <c r="Q9" s="501"/>
      <c r="R9" s="501"/>
      <c r="S9" s="501"/>
      <c r="T9" s="501"/>
      <c r="U9" s="501"/>
      <c r="V9" s="501"/>
      <c r="W9" s="502"/>
      <c r="X9" s="369" t="s">
        <v>126</v>
      </c>
      <c r="Y9" s="370"/>
      <c r="Z9" s="371"/>
      <c r="AA9" s="503" t="str">
        <f>IF($BJ$12=1,"",IF('業務情報'!$E$3="","",'業務情報'!$E$3))</f>
        <v>○○地方整備局
○○事務所</v>
      </c>
      <c r="AB9" s="504"/>
      <c r="AC9" s="504"/>
      <c r="AD9" s="504"/>
      <c r="AE9" s="504"/>
      <c r="AF9" s="505"/>
      <c r="AG9" s="369" t="s">
        <v>127</v>
      </c>
      <c r="AH9" s="370"/>
      <c r="AI9" s="371"/>
      <c r="AJ9" s="1232" t="str">
        <f>IF($BJ$12=1,"",IF('業務情報'!$E$4="","",'業務情報'!$E$4))</f>
        <v>（有）サーベイテック</v>
      </c>
      <c r="AK9" s="1233"/>
      <c r="AL9" s="1233"/>
      <c r="AM9" s="1233"/>
      <c r="AN9" s="1233"/>
      <c r="AO9" s="1234"/>
      <c r="AP9" s="369" t="s">
        <v>48</v>
      </c>
      <c r="AQ9" s="370"/>
      <c r="AR9" s="371"/>
      <c r="AS9" s="498" t="str">
        <f>IF($BJ$12=1,"",IF('業務情報'!$G$4="","",'業務情報'!$G$4))</f>
        <v>曽木亜　説戸</v>
      </c>
      <c r="AT9" s="499"/>
      <c r="AU9" s="499"/>
      <c r="AV9" s="499"/>
      <c r="AW9" s="499"/>
      <c r="AX9" s="39" t="s">
        <v>125</v>
      </c>
      <c r="BA9" s="90" t="str">
        <f>IF(BA10=2,IF(OR(X5=BA19,X5=BA20),"False","True"),IF(BA10=3,IF(OR(X5=BA14,X5=BA15,X5=BA16,X5=BA17),"False","True")))</f>
        <v>True</v>
      </c>
    </row>
    <row r="10" spans="1:53" ht="30" customHeight="1">
      <c r="A10" s="16"/>
      <c r="B10" s="369" t="s">
        <v>49</v>
      </c>
      <c r="C10" s="370"/>
      <c r="D10" s="371"/>
      <c r="E10" s="500" t="str">
        <f>'業務情報'!C5</f>
        <v>国道1024号</v>
      </c>
      <c r="F10" s="501"/>
      <c r="G10" s="501"/>
      <c r="H10" s="501"/>
      <c r="I10" s="501"/>
      <c r="J10" s="501"/>
      <c r="K10" s="501"/>
      <c r="L10" s="502"/>
      <c r="M10" s="369" t="s">
        <v>50</v>
      </c>
      <c r="N10" s="370"/>
      <c r="O10" s="371"/>
      <c r="P10" s="503" t="str">
        <f>IF($BJ$12=1,"",IF('業務情報'!$E$5="","",'業務情報'!$E$5))</f>
        <v>自 平成26年10月10日
至 平成27年3月15日</v>
      </c>
      <c r="Q10" s="504"/>
      <c r="R10" s="504"/>
      <c r="S10" s="504"/>
      <c r="T10" s="504"/>
      <c r="U10" s="504"/>
      <c r="V10" s="504"/>
      <c r="W10" s="505"/>
      <c r="X10" s="369" t="s">
        <v>104</v>
      </c>
      <c r="Y10" s="370"/>
      <c r="Z10" s="371"/>
      <c r="AA10" s="1238" t="s">
        <v>674</v>
      </c>
      <c r="AB10" s="1239"/>
      <c r="AC10" s="1239"/>
      <c r="AD10" s="1239"/>
      <c r="AE10" s="1239"/>
      <c r="AF10" s="1240"/>
      <c r="AG10" s="325" t="s">
        <v>511</v>
      </c>
      <c r="AH10" s="326"/>
      <c r="AI10" s="327"/>
      <c r="AJ10" s="500" t="str">
        <f>IF($BJ$12=1,"",IF('業務情報'!$G$3="","",'業務情報'!$G$3))</f>
        <v>兎位瑠度　逓津宇</v>
      </c>
      <c r="AK10" s="501"/>
      <c r="AL10" s="501"/>
      <c r="AM10" s="501"/>
      <c r="AN10" s="501"/>
      <c r="AO10" s="41" t="s">
        <v>125</v>
      </c>
      <c r="AP10" s="369" t="s">
        <v>52</v>
      </c>
      <c r="AQ10" s="370"/>
      <c r="AR10" s="371"/>
      <c r="AS10" s="467" t="s">
        <v>639</v>
      </c>
      <c r="AT10" s="468"/>
      <c r="AU10" s="468"/>
      <c r="AV10" s="468"/>
      <c r="AW10" s="468"/>
      <c r="AX10" s="469"/>
      <c r="BA10" s="90">
        <f>IF(AN5=BA25,1,IF(AN5=BA26,2,3))</f>
        <v>2</v>
      </c>
    </row>
    <row r="11" spans="1:53" ht="12" customHeight="1">
      <c r="A11" s="16"/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  <c r="U11" s="455"/>
      <c r="V11" s="455"/>
      <c r="W11" s="455"/>
      <c r="X11" s="455"/>
      <c r="Y11" s="455"/>
      <c r="Z11" s="455"/>
      <c r="AA11" s="455"/>
      <c r="AB11" s="455"/>
      <c r="AC11" s="455"/>
      <c r="AD11" s="455"/>
      <c r="AE11" s="455"/>
      <c r="AF11" s="455"/>
      <c r="AG11" s="455"/>
      <c r="AH11" s="455"/>
      <c r="AI11" s="455"/>
      <c r="AJ11" s="455"/>
      <c r="AK11" s="455"/>
      <c r="AL11" s="455"/>
      <c r="AM11" s="455"/>
      <c r="AN11" s="455"/>
      <c r="AO11" s="455"/>
      <c r="AP11" s="455"/>
      <c r="AQ11" s="455"/>
      <c r="AR11" s="455"/>
      <c r="AS11" s="455"/>
      <c r="AT11" s="455"/>
      <c r="AU11" s="455"/>
      <c r="AV11" s="455"/>
      <c r="AW11" s="455"/>
      <c r="AX11" s="455"/>
      <c r="BA11" s="90">
        <f>IF(X5=BA13,1,IF(X5=BA14,2,IF(X5=BA15,3,IF(X5=BA16,4,5))))</f>
        <v>3</v>
      </c>
    </row>
    <row r="12" spans="1:53" ht="23.25" customHeight="1">
      <c r="A12" s="16"/>
      <c r="B12" s="427" t="s">
        <v>71</v>
      </c>
      <c r="C12" s="428"/>
      <c r="D12" s="428"/>
      <c r="E12" s="533"/>
      <c r="F12" s="427" t="s">
        <v>24</v>
      </c>
      <c r="G12" s="428"/>
      <c r="H12" s="428"/>
      <c r="I12" s="533"/>
      <c r="J12" s="427" t="s">
        <v>26</v>
      </c>
      <c r="K12" s="428"/>
      <c r="L12" s="428"/>
      <c r="M12" s="533"/>
      <c r="N12" s="427" t="s">
        <v>488</v>
      </c>
      <c r="O12" s="428"/>
      <c r="P12" s="428"/>
      <c r="Q12" s="533"/>
      <c r="R12" s="427" t="s">
        <v>55</v>
      </c>
      <c r="S12" s="428"/>
      <c r="T12" s="428"/>
      <c r="U12" s="1215"/>
      <c r="V12" s="1228" t="s">
        <v>71</v>
      </c>
      <c r="W12" s="428"/>
      <c r="X12" s="428"/>
      <c r="Y12" s="533"/>
      <c r="Z12" s="427" t="s">
        <v>24</v>
      </c>
      <c r="AA12" s="428"/>
      <c r="AB12" s="428"/>
      <c r="AC12" s="533"/>
      <c r="AD12" s="427" t="s">
        <v>26</v>
      </c>
      <c r="AE12" s="428"/>
      <c r="AF12" s="428"/>
      <c r="AG12" s="533"/>
      <c r="AH12" s="427" t="s">
        <v>488</v>
      </c>
      <c r="AI12" s="428"/>
      <c r="AJ12" s="428"/>
      <c r="AK12" s="533"/>
      <c r="AL12" s="427" t="s">
        <v>55</v>
      </c>
      <c r="AM12" s="428"/>
      <c r="AN12" s="428"/>
      <c r="AO12" s="1215"/>
      <c r="AP12" s="1228" t="s">
        <v>132</v>
      </c>
      <c r="AQ12" s="428"/>
      <c r="AR12" s="428"/>
      <c r="AS12" s="428"/>
      <c r="AT12" s="428"/>
      <c r="AU12" s="428"/>
      <c r="AV12" s="428"/>
      <c r="AW12" s="428"/>
      <c r="AX12" s="533"/>
      <c r="BA12" s="90">
        <f>IF(F5=BA21,1,IF(F5=BA22,2,IF(F5=BA23,3,4)))</f>
        <v>2</v>
      </c>
    </row>
    <row r="13" spans="1:53" ht="23.25" customHeight="1">
      <c r="A13" s="16"/>
      <c r="B13" s="467" t="s">
        <v>683</v>
      </c>
      <c r="C13" s="468"/>
      <c r="D13" s="468"/>
      <c r="E13" s="469"/>
      <c r="F13" s="1220">
        <v>0.13</v>
      </c>
      <c r="G13" s="1221"/>
      <c r="H13" s="1221"/>
      <c r="I13" s="1222"/>
      <c r="J13" s="1019">
        <v>0.001</v>
      </c>
      <c r="K13" s="1020"/>
      <c r="L13" s="1020"/>
      <c r="M13" s="1021"/>
      <c r="N13" s="1127">
        <f aca="true" t="shared" si="0" ref="N13:N27">IF(OR(R13="",R13="地形を選択"),"",IF(OR($BA$12=1,F13=""),"",ROUNDDOWN(R13*ABS(F13)^0.5,0)))</f>
        <v>9</v>
      </c>
      <c r="O13" s="880"/>
      <c r="P13" s="880"/>
      <c r="Q13" s="1227"/>
      <c r="R13" s="1216">
        <f>IF(OR($BA$8="False",F13=""),"",IF($BA$9="False","地形を選択",IF($BA$10=2,IF($BA$11=2,20,IF($BA$11=3,25,IF($BA$11=4,40,50))),IF($BA$10=3,IF($X$5=$BA$19,40,50)))))</f>
        <v>25</v>
      </c>
      <c r="S13" s="880"/>
      <c r="T13" s="880"/>
      <c r="U13" s="1226"/>
      <c r="V13" s="1223"/>
      <c r="W13" s="1224"/>
      <c r="X13" s="1224"/>
      <c r="Y13" s="1225"/>
      <c r="Z13" s="1220"/>
      <c r="AA13" s="1221"/>
      <c r="AB13" s="1221"/>
      <c r="AC13" s="1222"/>
      <c r="AD13" s="1019"/>
      <c r="AE13" s="1020"/>
      <c r="AF13" s="1020"/>
      <c r="AG13" s="1021"/>
      <c r="AH13" s="1127">
        <f>IF(OR(AL13="",AL13="地形を選択"),"",IF(OR($BA$12=1,Z13=""),"",ROUNDDOWN(AL13*ABS(Z13)^0.5,0)))</f>
      </c>
      <c r="AI13" s="1128"/>
      <c r="AJ13" s="1128"/>
      <c r="AK13" s="1219"/>
      <c r="AL13" s="1216">
        <f>IF(OR($BA$8="False",Z13=""),"",IF($BA$9="False","地形を選択",IF($BA$10=2,IF($BA$11=2,20,IF($BA$11=3,25,IF($BA$11=4,40,50))),IF($BA$10=3,IF($X$5=$BA$19,40,50)))))</f>
      </c>
      <c r="AM13" s="1217"/>
      <c r="AN13" s="1217"/>
      <c r="AO13" s="1218"/>
      <c r="AP13" s="1242" t="str">
        <f>'業務情報'!G5</f>
        <v>加亜瑠　番辺留比</v>
      </c>
      <c r="AQ13" s="635"/>
      <c r="AR13" s="635"/>
      <c r="AS13" s="635"/>
      <c r="AT13" s="635"/>
      <c r="AU13" s="635"/>
      <c r="AV13" s="635"/>
      <c r="AW13" s="635"/>
      <c r="AX13" s="636"/>
      <c r="BA13" s="91" t="str">
        <f>"地形を選択してください"</f>
        <v>地形を選択してください</v>
      </c>
    </row>
    <row r="14" spans="1:53" ht="23.25" customHeight="1">
      <c r="A14" s="16"/>
      <c r="B14" s="467" t="s">
        <v>684</v>
      </c>
      <c r="C14" s="468"/>
      <c r="D14" s="468"/>
      <c r="E14" s="469"/>
      <c r="F14" s="1220">
        <v>0.13</v>
      </c>
      <c r="G14" s="1221"/>
      <c r="H14" s="1221"/>
      <c r="I14" s="1222"/>
      <c r="J14" s="1019">
        <v>0.002</v>
      </c>
      <c r="K14" s="1020"/>
      <c r="L14" s="1020"/>
      <c r="M14" s="1021"/>
      <c r="N14" s="1127">
        <f t="shared" si="0"/>
        <v>9</v>
      </c>
      <c r="O14" s="880"/>
      <c r="P14" s="880"/>
      <c r="Q14" s="1227"/>
      <c r="R14" s="1216">
        <f aca="true" t="shared" si="1" ref="R14:R27">IF(OR($BA$8="False",F14=""),"",IF($BA$9="False","地形を選択",IF($BA$10=2,IF($BA$11=2,20,IF($BA$11=3,25,IF($BA$11=4,40,50))),IF($BA$10=3,IF($X$5=$BA$19,40,50)))))</f>
        <v>25</v>
      </c>
      <c r="S14" s="880"/>
      <c r="T14" s="880"/>
      <c r="U14" s="1226"/>
      <c r="V14" s="1223"/>
      <c r="W14" s="1224"/>
      <c r="X14" s="1224"/>
      <c r="Y14" s="1225"/>
      <c r="Z14" s="1220"/>
      <c r="AA14" s="1221"/>
      <c r="AB14" s="1221"/>
      <c r="AC14" s="1222"/>
      <c r="AD14" s="1019"/>
      <c r="AE14" s="1020"/>
      <c r="AF14" s="1020"/>
      <c r="AG14" s="1021"/>
      <c r="AH14" s="1127">
        <f aca="true" t="shared" si="2" ref="AH14:AH27">IF(OR(AL14="",AL14="地形を選択"),"",IF(OR($BA$12=1,Z14=""),"",ROUNDDOWN(AL14*ABS(Z14)^0.5,0)))</f>
      </c>
      <c r="AI14" s="1128"/>
      <c r="AJ14" s="1128"/>
      <c r="AK14" s="1219"/>
      <c r="AL14" s="1216">
        <f aca="true" t="shared" si="3" ref="AL14:AL27">IF(OR($BA$8="False",Z14=""),"",IF($BA$9="False","地形を選択",IF($BA$10=2,IF($BA$11=2,20,IF($BA$11=3,25,IF($BA$11=4,40,50))),IF($BA$10=3,IF($X$5=$BA$19,40,50)))))</f>
      </c>
      <c r="AM14" s="1217"/>
      <c r="AN14" s="1217"/>
      <c r="AO14" s="1218"/>
      <c r="AP14" s="1242" t="str">
        <f>'業務情報'!G6</f>
        <v>時尾次　名太</v>
      </c>
      <c r="AQ14" s="635"/>
      <c r="AR14" s="635"/>
      <c r="AS14" s="635"/>
      <c r="AT14" s="635"/>
      <c r="AU14" s="635"/>
      <c r="AV14" s="635"/>
      <c r="AW14" s="635"/>
      <c r="AX14" s="636"/>
      <c r="BA14" s="240" t="s">
        <v>504</v>
      </c>
    </row>
    <row r="15" spans="1:53" ht="23.25" customHeight="1">
      <c r="A15" s="16"/>
      <c r="B15" s="467"/>
      <c r="C15" s="468"/>
      <c r="D15" s="468"/>
      <c r="E15" s="469"/>
      <c r="F15" s="1220"/>
      <c r="G15" s="1221"/>
      <c r="H15" s="1221"/>
      <c r="I15" s="1222"/>
      <c r="J15" s="1019"/>
      <c r="K15" s="1020"/>
      <c r="L15" s="1020"/>
      <c r="M15" s="1021"/>
      <c r="N15" s="1127">
        <f t="shared" si="0"/>
      </c>
      <c r="O15" s="880"/>
      <c r="P15" s="880"/>
      <c r="Q15" s="1227"/>
      <c r="R15" s="1216">
        <f t="shared" si="1"/>
      </c>
      <c r="S15" s="880"/>
      <c r="T15" s="880"/>
      <c r="U15" s="1226"/>
      <c r="V15" s="1223"/>
      <c r="W15" s="1224"/>
      <c r="X15" s="1224"/>
      <c r="Y15" s="1225"/>
      <c r="Z15" s="1220"/>
      <c r="AA15" s="1221"/>
      <c r="AB15" s="1221"/>
      <c r="AC15" s="1222"/>
      <c r="AD15" s="1019"/>
      <c r="AE15" s="1020"/>
      <c r="AF15" s="1020"/>
      <c r="AG15" s="1021"/>
      <c r="AH15" s="1127">
        <f t="shared" si="2"/>
      </c>
      <c r="AI15" s="1128"/>
      <c r="AJ15" s="1128"/>
      <c r="AK15" s="1219"/>
      <c r="AL15" s="1216">
        <f t="shared" si="3"/>
      </c>
      <c r="AM15" s="1217"/>
      <c r="AN15" s="1217"/>
      <c r="AO15" s="1218"/>
      <c r="AP15" s="1228" t="s">
        <v>73</v>
      </c>
      <c r="AQ15" s="428"/>
      <c r="AR15" s="428"/>
      <c r="AS15" s="428"/>
      <c r="AT15" s="428"/>
      <c r="AU15" s="428"/>
      <c r="AV15" s="428"/>
      <c r="AW15" s="428"/>
      <c r="AX15" s="533"/>
      <c r="BA15" s="240" t="s">
        <v>506</v>
      </c>
    </row>
    <row r="16" spans="1:53" ht="23.25" customHeight="1">
      <c r="A16" s="16"/>
      <c r="B16" s="467"/>
      <c r="C16" s="468"/>
      <c r="D16" s="468"/>
      <c r="E16" s="469"/>
      <c r="F16" s="1220"/>
      <c r="G16" s="1221"/>
      <c r="H16" s="1221"/>
      <c r="I16" s="1222"/>
      <c r="J16" s="1019"/>
      <c r="K16" s="1020"/>
      <c r="L16" s="1020"/>
      <c r="M16" s="1021"/>
      <c r="N16" s="1127">
        <f t="shared" si="0"/>
      </c>
      <c r="O16" s="880"/>
      <c r="P16" s="880"/>
      <c r="Q16" s="1227"/>
      <c r="R16" s="1216">
        <f t="shared" si="1"/>
      </c>
      <c r="S16" s="880"/>
      <c r="T16" s="880"/>
      <c r="U16" s="1226"/>
      <c r="V16" s="1223"/>
      <c r="W16" s="1224"/>
      <c r="X16" s="1224"/>
      <c r="Y16" s="1225"/>
      <c r="Z16" s="1220"/>
      <c r="AA16" s="1221"/>
      <c r="AB16" s="1221"/>
      <c r="AC16" s="1222"/>
      <c r="AD16" s="1019"/>
      <c r="AE16" s="1020"/>
      <c r="AF16" s="1020"/>
      <c r="AG16" s="1021"/>
      <c r="AH16" s="1127">
        <f t="shared" si="2"/>
      </c>
      <c r="AI16" s="1128"/>
      <c r="AJ16" s="1128"/>
      <c r="AK16" s="1219"/>
      <c r="AL16" s="1216">
        <f t="shared" si="3"/>
      </c>
      <c r="AM16" s="1217"/>
      <c r="AN16" s="1217"/>
      <c r="AO16" s="1218"/>
      <c r="AP16" s="1229" t="str">
        <f>'業務情報'!G9</f>
        <v>WILD NA3003A No.206265</v>
      </c>
      <c r="AQ16" s="373"/>
      <c r="AR16" s="373"/>
      <c r="AS16" s="373"/>
      <c r="AT16" s="373"/>
      <c r="AU16" s="373"/>
      <c r="AV16" s="373"/>
      <c r="AW16" s="373"/>
      <c r="AX16" s="349"/>
      <c r="BA16" s="240" t="s">
        <v>505</v>
      </c>
    </row>
    <row r="17" spans="1:53" ht="23.25" customHeight="1">
      <c r="A17" s="16"/>
      <c r="B17" s="467"/>
      <c r="C17" s="468"/>
      <c r="D17" s="468"/>
      <c r="E17" s="469"/>
      <c r="F17" s="1220"/>
      <c r="G17" s="1221"/>
      <c r="H17" s="1221"/>
      <c r="I17" s="1222"/>
      <c r="J17" s="1019"/>
      <c r="K17" s="1020"/>
      <c r="L17" s="1020"/>
      <c r="M17" s="1021"/>
      <c r="N17" s="1127">
        <f t="shared" si="0"/>
      </c>
      <c r="O17" s="880"/>
      <c r="P17" s="880"/>
      <c r="Q17" s="1227"/>
      <c r="R17" s="1216">
        <f t="shared" si="1"/>
      </c>
      <c r="S17" s="880"/>
      <c r="T17" s="880"/>
      <c r="U17" s="1226"/>
      <c r="V17" s="1223"/>
      <c r="W17" s="1224"/>
      <c r="X17" s="1224"/>
      <c r="Y17" s="1225"/>
      <c r="Z17" s="1220"/>
      <c r="AA17" s="1221"/>
      <c r="AB17" s="1221"/>
      <c r="AC17" s="1222"/>
      <c r="AD17" s="1019"/>
      <c r="AE17" s="1020"/>
      <c r="AF17" s="1020"/>
      <c r="AG17" s="1021"/>
      <c r="AH17" s="1127">
        <f t="shared" si="2"/>
      </c>
      <c r="AI17" s="1128"/>
      <c r="AJ17" s="1128"/>
      <c r="AK17" s="1219"/>
      <c r="AL17" s="1216">
        <f t="shared" si="3"/>
      </c>
      <c r="AM17" s="1217"/>
      <c r="AN17" s="1217"/>
      <c r="AO17" s="1218"/>
      <c r="AP17" s="1229"/>
      <c r="AQ17" s="373"/>
      <c r="AR17" s="373"/>
      <c r="AS17" s="373"/>
      <c r="AT17" s="373"/>
      <c r="AU17" s="373"/>
      <c r="AV17" s="373"/>
      <c r="AW17" s="373"/>
      <c r="AX17" s="349"/>
      <c r="BA17" s="241" t="s">
        <v>507</v>
      </c>
    </row>
    <row r="18" spans="1:53" ht="23.25" customHeight="1">
      <c r="A18" s="16"/>
      <c r="B18" s="467"/>
      <c r="C18" s="468"/>
      <c r="D18" s="468"/>
      <c r="E18" s="469"/>
      <c r="F18" s="1220"/>
      <c r="G18" s="1221"/>
      <c r="H18" s="1221"/>
      <c r="I18" s="1222"/>
      <c r="J18" s="1019"/>
      <c r="K18" s="1020"/>
      <c r="L18" s="1020"/>
      <c r="M18" s="1021"/>
      <c r="N18" s="1127">
        <f t="shared" si="0"/>
      </c>
      <c r="O18" s="880"/>
      <c r="P18" s="880"/>
      <c r="Q18" s="1227"/>
      <c r="R18" s="1216">
        <f t="shared" si="1"/>
      </c>
      <c r="S18" s="880"/>
      <c r="T18" s="880"/>
      <c r="U18" s="1226"/>
      <c r="V18" s="1223"/>
      <c r="W18" s="1224"/>
      <c r="X18" s="1224"/>
      <c r="Y18" s="1225"/>
      <c r="Z18" s="1220"/>
      <c r="AA18" s="1221"/>
      <c r="AB18" s="1221"/>
      <c r="AC18" s="1222"/>
      <c r="AD18" s="1019"/>
      <c r="AE18" s="1020"/>
      <c r="AF18" s="1020"/>
      <c r="AG18" s="1021"/>
      <c r="AH18" s="1127">
        <f t="shared" si="2"/>
      </c>
      <c r="AI18" s="1128"/>
      <c r="AJ18" s="1128"/>
      <c r="AK18" s="1219"/>
      <c r="AL18" s="1216">
        <f t="shared" si="3"/>
      </c>
      <c r="AM18" s="1217"/>
      <c r="AN18" s="1217"/>
      <c r="AO18" s="1218"/>
      <c r="AP18" s="1229" t="str">
        <f>'業務情報'!G11</f>
        <v>NEDO GTL4C NO.206265</v>
      </c>
      <c r="AQ18" s="373"/>
      <c r="AR18" s="373"/>
      <c r="AS18" s="373"/>
      <c r="AT18" s="373"/>
      <c r="AU18" s="373"/>
      <c r="AV18" s="373"/>
      <c r="AW18" s="373"/>
      <c r="AX18" s="349"/>
      <c r="BA18" s="91" t="str">
        <f>"地形を選択してください"</f>
        <v>地形を選択してください</v>
      </c>
    </row>
    <row r="19" spans="1:53" ht="23.25" customHeight="1">
      <c r="A19" s="16"/>
      <c r="B19" s="467"/>
      <c r="C19" s="468"/>
      <c r="D19" s="468"/>
      <c r="E19" s="469"/>
      <c r="F19" s="1220"/>
      <c r="G19" s="1221"/>
      <c r="H19" s="1221"/>
      <c r="I19" s="1222"/>
      <c r="J19" s="1019"/>
      <c r="K19" s="1020"/>
      <c r="L19" s="1020"/>
      <c r="M19" s="1021"/>
      <c r="N19" s="1127">
        <f t="shared" si="0"/>
      </c>
      <c r="O19" s="880"/>
      <c r="P19" s="880"/>
      <c r="Q19" s="1227"/>
      <c r="R19" s="1216">
        <f t="shared" si="1"/>
      </c>
      <c r="S19" s="880"/>
      <c r="T19" s="880"/>
      <c r="U19" s="1226"/>
      <c r="V19" s="1223"/>
      <c r="W19" s="1224"/>
      <c r="X19" s="1224"/>
      <c r="Y19" s="1225"/>
      <c r="Z19" s="1220"/>
      <c r="AA19" s="1221"/>
      <c r="AB19" s="1221"/>
      <c r="AC19" s="1222"/>
      <c r="AD19" s="1019"/>
      <c r="AE19" s="1020"/>
      <c r="AF19" s="1020"/>
      <c r="AG19" s="1021"/>
      <c r="AH19" s="1127">
        <f t="shared" si="2"/>
      </c>
      <c r="AI19" s="1128"/>
      <c r="AJ19" s="1128"/>
      <c r="AK19" s="1219"/>
      <c r="AL19" s="1216">
        <f t="shared" si="3"/>
      </c>
      <c r="AM19" s="1217"/>
      <c r="AN19" s="1217"/>
      <c r="AO19" s="1218"/>
      <c r="AP19" s="1229" t="str">
        <f>'業務情報'!G12</f>
        <v>SOKKIA BGS40A NO.206265</v>
      </c>
      <c r="AQ19" s="373"/>
      <c r="AR19" s="373"/>
      <c r="AS19" s="373"/>
      <c r="AT19" s="373"/>
      <c r="AU19" s="373"/>
      <c r="AV19" s="373"/>
      <c r="AW19" s="373"/>
      <c r="AX19" s="349"/>
      <c r="BA19" s="240" t="s">
        <v>85</v>
      </c>
    </row>
    <row r="20" spans="1:53" ht="23.25" customHeight="1">
      <c r="A20" s="16"/>
      <c r="B20" s="467"/>
      <c r="C20" s="468"/>
      <c r="D20" s="468"/>
      <c r="E20" s="469"/>
      <c r="F20" s="1220"/>
      <c r="G20" s="1221"/>
      <c r="H20" s="1221"/>
      <c r="I20" s="1222"/>
      <c r="J20" s="1019"/>
      <c r="K20" s="1020"/>
      <c r="L20" s="1020"/>
      <c r="M20" s="1021"/>
      <c r="N20" s="1127">
        <f t="shared" si="0"/>
      </c>
      <c r="O20" s="880"/>
      <c r="P20" s="880"/>
      <c r="Q20" s="1227"/>
      <c r="R20" s="1216">
        <f t="shared" si="1"/>
      </c>
      <c r="S20" s="880"/>
      <c r="T20" s="880"/>
      <c r="U20" s="1226"/>
      <c r="V20" s="1223"/>
      <c r="W20" s="1224"/>
      <c r="X20" s="1224"/>
      <c r="Y20" s="1225"/>
      <c r="Z20" s="1220"/>
      <c r="AA20" s="1221"/>
      <c r="AB20" s="1221"/>
      <c r="AC20" s="1222"/>
      <c r="AD20" s="1019"/>
      <c r="AE20" s="1020"/>
      <c r="AF20" s="1020"/>
      <c r="AG20" s="1021"/>
      <c r="AH20" s="1127">
        <f t="shared" si="2"/>
      </c>
      <c r="AI20" s="1128"/>
      <c r="AJ20" s="1128"/>
      <c r="AK20" s="1219"/>
      <c r="AL20" s="1216">
        <f t="shared" si="3"/>
      </c>
      <c r="AM20" s="1217"/>
      <c r="AN20" s="1217"/>
      <c r="AO20" s="1218"/>
      <c r="AP20" s="1229"/>
      <c r="AQ20" s="373"/>
      <c r="AR20" s="373"/>
      <c r="AS20" s="373"/>
      <c r="AT20" s="373"/>
      <c r="AU20" s="373"/>
      <c r="AV20" s="373"/>
      <c r="AW20" s="373"/>
      <c r="AX20" s="349"/>
      <c r="BA20" s="240" t="s">
        <v>508</v>
      </c>
    </row>
    <row r="21" spans="1:53" ht="23.25" customHeight="1">
      <c r="A21" s="16"/>
      <c r="B21" s="467"/>
      <c r="C21" s="468"/>
      <c r="D21" s="468"/>
      <c r="E21" s="469"/>
      <c r="F21" s="1220"/>
      <c r="G21" s="1221"/>
      <c r="H21" s="1221"/>
      <c r="I21" s="1222"/>
      <c r="J21" s="1019"/>
      <c r="K21" s="1020"/>
      <c r="L21" s="1020"/>
      <c r="M21" s="1021"/>
      <c r="N21" s="1127">
        <f t="shared" si="0"/>
      </c>
      <c r="O21" s="880"/>
      <c r="P21" s="880"/>
      <c r="Q21" s="1227"/>
      <c r="R21" s="1216">
        <f t="shared" si="1"/>
      </c>
      <c r="S21" s="880"/>
      <c r="T21" s="880"/>
      <c r="U21" s="1226"/>
      <c r="V21" s="1223"/>
      <c r="W21" s="1224"/>
      <c r="X21" s="1224"/>
      <c r="Y21" s="1225"/>
      <c r="Z21" s="1220"/>
      <c r="AA21" s="1221"/>
      <c r="AB21" s="1221"/>
      <c r="AC21" s="1222"/>
      <c r="AD21" s="1019"/>
      <c r="AE21" s="1020"/>
      <c r="AF21" s="1020"/>
      <c r="AG21" s="1021"/>
      <c r="AH21" s="1127">
        <f t="shared" si="2"/>
      </c>
      <c r="AI21" s="1128"/>
      <c r="AJ21" s="1128"/>
      <c r="AK21" s="1219"/>
      <c r="AL21" s="1216">
        <f t="shared" si="3"/>
      </c>
      <c r="AM21" s="1217"/>
      <c r="AN21" s="1217"/>
      <c r="AO21" s="1218"/>
      <c r="AP21" s="1230"/>
      <c r="AQ21" s="328"/>
      <c r="AR21" s="328"/>
      <c r="AS21" s="328"/>
      <c r="AT21" s="328"/>
      <c r="AU21" s="328"/>
      <c r="AV21" s="328"/>
      <c r="AW21" s="328"/>
      <c r="AX21" s="329"/>
      <c r="BA21" s="94" t="str">
        <f>$B$5&amp;"を選択してください"</f>
        <v>測量内容を選択してください</v>
      </c>
    </row>
    <row r="22" spans="1:53" ht="23.25" customHeight="1">
      <c r="A22" s="16"/>
      <c r="B22" s="467"/>
      <c r="C22" s="468"/>
      <c r="D22" s="468"/>
      <c r="E22" s="469"/>
      <c r="F22" s="1220"/>
      <c r="G22" s="1221"/>
      <c r="H22" s="1221"/>
      <c r="I22" s="1222"/>
      <c r="J22" s="1019"/>
      <c r="K22" s="1020"/>
      <c r="L22" s="1020"/>
      <c r="M22" s="1021"/>
      <c r="N22" s="1127">
        <f t="shared" si="0"/>
      </c>
      <c r="O22" s="880"/>
      <c r="P22" s="880"/>
      <c r="Q22" s="1227"/>
      <c r="R22" s="1216">
        <f t="shared" si="1"/>
      </c>
      <c r="S22" s="880"/>
      <c r="T22" s="880"/>
      <c r="U22" s="1226"/>
      <c r="V22" s="1223"/>
      <c r="W22" s="1224"/>
      <c r="X22" s="1224"/>
      <c r="Y22" s="1225"/>
      <c r="Z22" s="1220"/>
      <c r="AA22" s="1221"/>
      <c r="AB22" s="1221"/>
      <c r="AC22" s="1222"/>
      <c r="AD22" s="1019"/>
      <c r="AE22" s="1020"/>
      <c r="AF22" s="1020"/>
      <c r="AG22" s="1021"/>
      <c r="AH22" s="1127">
        <f t="shared" si="2"/>
      </c>
      <c r="AI22" s="1128"/>
      <c r="AJ22" s="1128"/>
      <c r="AK22" s="1219"/>
      <c r="AL22" s="1216">
        <f t="shared" si="3"/>
      </c>
      <c r="AM22" s="1217"/>
      <c r="AN22" s="1217"/>
      <c r="AO22" s="1218"/>
      <c r="AP22" s="1231" t="s">
        <v>74</v>
      </c>
      <c r="AQ22" s="374"/>
      <c r="AR22" s="374"/>
      <c r="AS22" s="374"/>
      <c r="AT22" s="374"/>
      <c r="AU22" s="374"/>
      <c r="AV22" s="374"/>
      <c r="AW22" s="374"/>
      <c r="AX22" s="375"/>
      <c r="BA22" s="95" t="s">
        <v>112</v>
      </c>
    </row>
    <row r="23" spans="1:53" ht="23.25" customHeight="1">
      <c r="A23" s="16"/>
      <c r="B23" s="467"/>
      <c r="C23" s="468"/>
      <c r="D23" s="468"/>
      <c r="E23" s="469"/>
      <c r="F23" s="1220"/>
      <c r="G23" s="1221"/>
      <c r="H23" s="1221"/>
      <c r="I23" s="1222"/>
      <c r="J23" s="1019"/>
      <c r="K23" s="1020"/>
      <c r="L23" s="1020"/>
      <c r="M23" s="1021"/>
      <c r="N23" s="1127">
        <f t="shared" si="0"/>
      </c>
      <c r="O23" s="880"/>
      <c r="P23" s="880"/>
      <c r="Q23" s="1227"/>
      <c r="R23" s="1216">
        <f t="shared" si="1"/>
      </c>
      <c r="S23" s="880"/>
      <c r="T23" s="880"/>
      <c r="U23" s="1226"/>
      <c r="V23" s="1223"/>
      <c r="W23" s="1224"/>
      <c r="X23" s="1224"/>
      <c r="Y23" s="1225"/>
      <c r="Z23" s="1220"/>
      <c r="AA23" s="1221"/>
      <c r="AB23" s="1221"/>
      <c r="AC23" s="1222"/>
      <c r="AD23" s="1019"/>
      <c r="AE23" s="1020"/>
      <c r="AF23" s="1020"/>
      <c r="AG23" s="1021"/>
      <c r="AH23" s="1127">
        <f t="shared" si="2"/>
      </c>
      <c r="AI23" s="1128"/>
      <c r="AJ23" s="1128"/>
      <c r="AK23" s="1219"/>
      <c r="AL23" s="1216">
        <f t="shared" si="3"/>
      </c>
      <c r="AM23" s="1217"/>
      <c r="AN23" s="1217"/>
      <c r="AO23" s="1218"/>
      <c r="AP23" s="1229" t="s">
        <v>518</v>
      </c>
      <c r="AQ23" s="373"/>
      <c r="AR23" s="373"/>
      <c r="AS23" s="373"/>
      <c r="AT23" s="373"/>
      <c r="AU23" s="373"/>
      <c r="AV23" s="373"/>
      <c r="AW23" s="373"/>
      <c r="AX23" s="349"/>
      <c r="BA23" s="92" t="s">
        <v>113</v>
      </c>
    </row>
    <row r="24" spans="1:53" ht="23.25" customHeight="1">
      <c r="A24" s="16"/>
      <c r="B24" s="467"/>
      <c r="C24" s="468"/>
      <c r="D24" s="468"/>
      <c r="E24" s="469"/>
      <c r="F24" s="1220"/>
      <c r="G24" s="1221"/>
      <c r="H24" s="1221"/>
      <c r="I24" s="1222"/>
      <c r="J24" s="1019"/>
      <c r="K24" s="1020"/>
      <c r="L24" s="1020"/>
      <c r="M24" s="1021"/>
      <c r="N24" s="1127">
        <f t="shared" si="0"/>
      </c>
      <c r="O24" s="880"/>
      <c r="P24" s="880"/>
      <c r="Q24" s="1227"/>
      <c r="R24" s="1216">
        <f t="shared" si="1"/>
      </c>
      <c r="S24" s="880"/>
      <c r="T24" s="880"/>
      <c r="U24" s="1226"/>
      <c r="V24" s="1223"/>
      <c r="W24" s="1224"/>
      <c r="X24" s="1224"/>
      <c r="Y24" s="1225"/>
      <c r="Z24" s="1220"/>
      <c r="AA24" s="1221"/>
      <c r="AB24" s="1221"/>
      <c r="AC24" s="1222"/>
      <c r="AD24" s="1019"/>
      <c r="AE24" s="1020"/>
      <c r="AF24" s="1020"/>
      <c r="AG24" s="1021"/>
      <c r="AH24" s="1127">
        <f t="shared" si="2"/>
      </c>
      <c r="AI24" s="1128"/>
      <c r="AJ24" s="1128"/>
      <c r="AK24" s="1219"/>
      <c r="AL24" s="1216">
        <f t="shared" si="3"/>
      </c>
      <c r="AM24" s="1217"/>
      <c r="AN24" s="1217"/>
      <c r="AO24" s="1218"/>
      <c r="AP24" s="1230"/>
      <c r="AQ24" s="328"/>
      <c r="AR24" s="328"/>
      <c r="AS24" s="328"/>
      <c r="AT24" s="328"/>
      <c r="AU24" s="328"/>
      <c r="AV24" s="328"/>
      <c r="AW24" s="328"/>
      <c r="AX24" s="329"/>
      <c r="BA24" s="96" t="s">
        <v>114</v>
      </c>
    </row>
    <row r="25" spans="1:53" ht="23.25" customHeight="1">
      <c r="A25" s="16"/>
      <c r="B25" s="467"/>
      <c r="C25" s="468"/>
      <c r="D25" s="468"/>
      <c r="E25" s="469"/>
      <c r="F25" s="1220"/>
      <c r="G25" s="1221"/>
      <c r="H25" s="1221"/>
      <c r="I25" s="1222"/>
      <c r="J25" s="1019"/>
      <c r="K25" s="1020"/>
      <c r="L25" s="1020"/>
      <c r="M25" s="1021"/>
      <c r="N25" s="1127">
        <f t="shared" si="0"/>
      </c>
      <c r="O25" s="880"/>
      <c r="P25" s="880"/>
      <c r="Q25" s="1227"/>
      <c r="R25" s="1216">
        <f t="shared" si="1"/>
      </c>
      <c r="S25" s="880"/>
      <c r="T25" s="880"/>
      <c r="U25" s="1226"/>
      <c r="V25" s="1223"/>
      <c r="W25" s="1224"/>
      <c r="X25" s="1224"/>
      <c r="Y25" s="1225"/>
      <c r="Z25" s="1220"/>
      <c r="AA25" s="1221"/>
      <c r="AB25" s="1221"/>
      <c r="AC25" s="1222"/>
      <c r="AD25" s="1019"/>
      <c r="AE25" s="1020"/>
      <c r="AF25" s="1020"/>
      <c r="AG25" s="1021"/>
      <c r="AH25" s="1127">
        <f t="shared" si="2"/>
      </c>
      <c r="AI25" s="1128"/>
      <c r="AJ25" s="1128"/>
      <c r="AK25" s="1219"/>
      <c r="AL25" s="1216">
        <f t="shared" si="3"/>
      </c>
      <c r="AM25" s="1217"/>
      <c r="AN25" s="1217"/>
      <c r="AO25" s="1218"/>
      <c r="AP25" s="1231" t="s">
        <v>75</v>
      </c>
      <c r="AQ25" s="374"/>
      <c r="AR25" s="374"/>
      <c r="AS25" s="374"/>
      <c r="AT25" s="374"/>
      <c r="AU25" s="374"/>
      <c r="AV25" s="374"/>
      <c r="AW25" s="374"/>
      <c r="AX25" s="375"/>
      <c r="BA25" s="238" t="s">
        <v>501</v>
      </c>
    </row>
    <row r="26" spans="1:53" ht="23.25" customHeight="1">
      <c r="A26" s="16"/>
      <c r="B26" s="467"/>
      <c r="C26" s="468"/>
      <c r="D26" s="468"/>
      <c r="E26" s="469"/>
      <c r="F26" s="1220"/>
      <c r="G26" s="1221"/>
      <c r="H26" s="1221"/>
      <c r="I26" s="1222"/>
      <c r="J26" s="1019"/>
      <c r="K26" s="1020"/>
      <c r="L26" s="1020"/>
      <c r="M26" s="1021"/>
      <c r="N26" s="1127">
        <f t="shared" si="0"/>
      </c>
      <c r="O26" s="880"/>
      <c r="P26" s="880"/>
      <c r="Q26" s="1227"/>
      <c r="R26" s="1216">
        <f t="shared" si="1"/>
      </c>
      <c r="S26" s="880"/>
      <c r="T26" s="880"/>
      <c r="U26" s="1226"/>
      <c r="V26" s="1223"/>
      <c r="W26" s="1224"/>
      <c r="X26" s="1224"/>
      <c r="Y26" s="1225"/>
      <c r="Z26" s="1220"/>
      <c r="AA26" s="1221"/>
      <c r="AB26" s="1221"/>
      <c r="AC26" s="1222"/>
      <c r="AD26" s="1019"/>
      <c r="AE26" s="1020"/>
      <c r="AF26" s="1020"/>
      <c r="AG26" s="1021"/>
      <c r="AH26" s="1127">
        <f t="shared" si="2"/>
      </c>
      <c r="AI26" s="1128"/>
      <c r="AJ26" s="1128"/>
      <c r="AK26" s="1219"/>
      <c r="AL26" s="1216">
        <f t="shared" si="3"/>
      </c>
      <c r="AM26" s="1217"/>
      <c r="AN26" s="1217"/>
      <c r="AO26" s="1218"/>
      <c r="AP26" s="1243">
        <v>0</v>
      </c>
      <c r="AQ26" s="1244"/>
      <c r="AR26" s="1244"/>
      <c r="AS26" s="1244"/>
      <c r="AT26" s="1244"/>
      <c r="AU26" s="1244"/>
      <c r="AV26" s="1244"/>
      <c r="AW26" s="1244"/>
      <c r="AX26" s="1245"/>
      <c r="BA26" s="239" t="s">
        <v>502</v>
      </c>
    </row>
    <row r="27" spans="1:53" ht="23.25" customHeight="1">
      <c r="A27" s="16"/>
      <c r="B27" s="467"/>
      <c r="C27" s="468"/>
      <c r="D27" s="468"/>
      <c r="E27" s="469"/>
      <c r="F27" s="1220"/>
      <c r="G27" s="1221"/>
      <c r="H27" s="1221"/>
      <c r="I27" s="1222"/>
      <c r="J27" s="1019"/>
      <c r="K27" s="1020"/>
      <c r="L27" s="1020"/>
      <c r="M27" s="1021"/>
      <c r="N27" s="1127">
        <f t="shared" si="0"/>
      </c>
      <c r="O27" s="880"/>
      <c r="P27" s="880"/>
      <c r="Q27" s="1227"/>
      <c r="R27" s="1216">
        <f t="shared" si="1"/>
      </c>
      <c r="S27" s="880"/>
      <c r="T27" s="880"/>
      <c r="U27" s="1226"/>
      <c r="V27" s="1223"/>
      <c r="W27" s="1224"/>
      <c r="X27" s="1224"/>
      <c r="Y27" s="1225"/>
      <c r="Z27" s="1220"/>
      <c r="AA27" s="1221"/>
      <c r="AB27" s="1221"/>
      <c r="AC27" s="1222"/>
      <c r="AD27" s="1019"/>
      <c r="AE27" s="1020"/>
      <c r="AF27" s="1020"/>
      <c r="AG27" s="1021"/>
      <c r="AH27" s="1127">
        <f t="shared" si="2"/>
      </c>
      <c r="AI27" s="1128"/>
      <c r="AJ27" s="1128"/>
      <c r="AK27" s="1219"/>
      <c r="AL27" s="1216">
        <f t="shared" si="3"/>
      </c>
      <c r="AM27" s="1217"/>
      <c r="AN27" s="1217"/>
      <c r="AO27" s="1218"/>
      <c r="AP27" s="1230"/>
      <c r="AQ27" s="328"/>
      <c r="AR27" s="328"/>
      <c r="AS27" s="328"/>
      <c r="AT27" s="328"/>
      <c r="AU27" s="328"/>
      <c r="AV27" s="328"/>
      <c r="AW27" s="328"/>
      <c r="AX27" s="329"/>
      <c r="BA27" s="96" t="s">
        <v>503</v>
      </c>
    </row>
    <row r="28" ht="13.5"/>
    <row r="29" ht="13.5"/>
    <row r="41" ht="13.5"/>
  </sheetData>
  <sheetProtection formatCells="0"/>
  <mergeCells count="211">
    <mergeCell ref="B4:AX4"/>
    <mergeCell ref="B1:AX1"/>
    <mergeCell ref="B3:AX3"/>
    <mergeCell ref="B2:E2"/>
    <mergeCell ref="F2:AX2"/>
    <mergeCell ref="E10:L10"/>
    <mergeCell ref="AP27:AX27"/>
    <mergeCell ref="P9:W9"/>
    <mergeCell ref="P10:W10"/>
    <mergeCell ref="AP23:AX23"/>
    <mergeCell ref="AP24:AX24"/>
    <mergeCell ref="AP25:AX25"/>
    <mergeCell ref="AP26:AX26"/>
    <mergeCell ref="AP15:AX15"/>
    <mergeCell ref="AP16:AX16"/>
    <mergeCell ref="AG9:AI9"/>
    <mergeCell ref="AP18:AX18"/>
    <mergeCell ref="B8:AX8"/>
    <mergeCell ref="AP12:AX12"/>
    <mergeCell ref="AP13:AX13"/>
    <mergeCell ref="AP14:AX14"/>
    <mergeCell ref="E9:L9"/>
    <mergeCell ref="M9:O9"/>
    <mergeCell ref="X9:Z9"/>
    <mergeCell ref="AA9:AF9"/>
    <mergeCell ref="AS10:AX10"/>
    <mergeCell ref="M10:O10"/>
    <mergeCell ref="X10:Z10"/>
    <mergeCell ref="AA10:AF10"/>
    <mergeCell ref="F5:S5"/>
    <mergeCell ref="B5:E5"/>
    <mergeCell ref="B7:AX7"/>
    <mergeCell ref="B6:AX6"/>
    <mergeCell ref="X5:AI5"/>
    <mergeCell ref="AN5:AX5"/>
    <mergeCell ref="AJ5:AM5"/>
    <mergeCell ref="AP20:AX20"/>
    <mergeCell ref="AP21:AX21"/>
    <mergeCell ref="AP22:AX22"/>
    <mergeCell ref="T5:W5"/>
    <mergeCell ref="AJ9:AO9"/>
    <mergeCell ref="AP9:AR9"/>
    <mergeCell ref="AS9:AW9"/>
    <mergeCell ref="AG10:AI10"/>
    <mergeCell ref="AJ10:AN10"/>
    <mergeCell ref="AP10:AR10"/>
    <mergeCell ref="AH14:AK14"/>
    <mergeCell ref="AP19:AX19"/>
    <mergeCell ref="AP17:AX17"/>
    <mergeCell ref="AL14:AO14"/>
    <mergeCell ref="AH19:AK19"/>
    <mergeCell ref="AH16:AK16"/>
    <mergeCell ref="AH17:AK17"/>
    <mergeCell ref="AH15:AK15"/>
    <mergeCell ref="AH18:AK18"/>
    <mergeCell ref="V17:Y17"/>
    <mergeCell ref="V18:Y18"/>
    <mergeCell ref="V19:Y19"/>
    <mergeCell ref="AD13:AG13"/>
    <mergeCell ref="AD14:AG14"/>
    <mergeCell ref="AD15:AG15"/>
    <mergeCell ref="AD19:AG19"/>
    <mergeCell ref="AD16:AG16"/>
    <mergeCell ref="AD17:AG17"/>
    <mergeCell ref="AD18:AG18"/>
    <mergeCell ref="R27:U27"/>
    <mergeCell ref="R22:U22"/>
    <mergeCell ref="R23:U23"/>
    <mergeCell ref="AH20:AK20"/>
    <mergeCell ref="V21:Y21"/>
    <mergeCell ref="R20:U20"/>
    <mergeCell ref="V20:Y20"/>
    <mergeCell ref="R25:U25"/>
    <mergeCell ref="AD20:AG20"/>
    <mergeCell ref="R26:U26"/>
    <mergeCell ref="R19:U19"/>
    <mergeCell ref="R17:U17"/>
    <mergeCell ref="R18:U18"/>
    <mergeCell ref="N17:Q17"/>
    <mergeCell ref="R21:U21"/>
    <mergeCell ref="J20:M20"/>
    <mergeCell ref="J21:M21"/>
    <mergeCell ref="N20:Q20"/>
    <mergeCell ref="J26:M26"/>
    <mergeCell ref="N21:Q21"/>
    <mergeCell ref="N25:Q25"/>
    <mergeCell ref="J16:M16"/>
    <mergeCell ref="J17:M17"/>
    <mergeCell ref="J18:M18"/>
    <mergeCell ref="J19:M19"/>
    <mergeCell ref="N18:Q18"/>
    <mergeCell ref="N19:Q19"/>
    <mergeCell ref="F22:I22"/>
    <mergeCell ref="F23:I23"/>
    <mergeCell ref="F24:I24"/>
    <mergeCell ref="N23:Q23"/>
    <mergeCell ref="N22:Q22"/>
    <mergeCell ref="J22:M22"/>
    <mergeCell ref="N24:Q24"/>
    <mergeCell ref="R15:U15"/>
    <mergeCell ref="R16:U16"/>
    <mergeCell ref="N12:Q12"/>
    <mergeCell ref="N13:Q13"/>
    <mergeCell ref="N14:Q14"/>
    <mergeCell ref="N15:Q15"/>
    <mergeCell ref="N16:Q16"/>
    <mergeCell ref="V22:Y22"/>
    <mergeCell ref="V23:Y23"/>
    <mergeCell ref="R12:U12"/>
    <mergeCell ref="R13:U13"/>
    <mergeCell ref="R14:U14"/>
    <mergeCell ref="V16:Y16"/>
    <mergeCell ref="V12:Y12"/>
    <mergeCell ref="V13:Y13"/>
    <mergeCell ref="V14:Y14"/>
    <mergeCell ref="V15:Y15"/>
    <mergeCell ref="Z18:AC18"/>
    <mergeCell ref="Z19:AC19"/>
    <mergeCell ref="Z20:AC20"/>
    <mergeCell ref="Z21:AC21"/>
    <mergeCell ref="Z14:AC14"/>
    <mergeCell ref="Z15:AC15"/>
    <mergeCell ref="Z16:AC16"/>
    <mergeCell ref="Z17:AC17"/>
    <mergeCell ref="AH22:AK22"/>
    <mergeCell ref="AH23:AK23"/>
    <mergeCell ref="AD21:AG21"/>
    <mergeCell ref="Z25:AC25"/>
    <mergeCell ref="Z24:AC24"/>
    <mergeCell ref="Z23:AC23"/>
    <mergeCell ref="AD22:AG22"/>
    <mergeCell ref="Z22:AC22"/>
    <mergeCell ref="AL27:AO27"/>
    <mergeCell ref="B27:E27"/>
    <mergeCell ref="AH24:AK24"/>
    <mergeCell ref="AH27:AK27"/>
    <mergeCell ref="AH26:AK26"/>
    <mergeCell ref="AD25:AG25"/>
    <mergeCell ref="Z27:AC27"/>
    <mergeCell ref="Z26:AC26"/>
    <mergeCell ref="AD26:AG26"/>
    <mergeCell ref="F27:I27"/>
    <mergeCell ref="AD27:AG27"/>
    <mergeCell ref="B24:E24"/>
    <mergeCell ref="B25:E25"/>
    <mergeCell ref="B26:E26"/>
    <mergeCell ref="R24:U24"/>
    <mergeCell ref="N26:Q26"/>
    <mergeCell ref="V27:Y27"/>
    <mergeCell ref="J24:M24"/>
    <mergeCell ref="J25:M25"/>
    <mergeCell ref="N27:Q27"/>
    <mergeCell ref="V26:Y26"/>
    <mergeCell ref="V24:Y24"/>
    <mergeCell ref="V25:Y25"/>
    <mergeCell ref="AD23:AG23"/>
    <mergeCell ref="AD24:AG24"/>
    <mergeCell ref="F21:I21"/>
    <mergeCell ref="B23:E23"/>
    <mergeCell ref="AL24:AO24"/>
    <mergeCell ref="AH25:AK25"/>
    <mergeCell ref="AL25:AO25"/>
    <mergeCell ref="F25:I25"/>
    <mergeCell ref="J23:M23"/>
    <mergeCell ref="AH21:AK21"/>
    <mergeCell ref="AL22:AO22"/>
    <mergeCell ref="AL23:AO23"/>
    <mergeCell ref="J15:M15"/>
    <mergeCell ref="F26:I26"/>
    <mergeCell ref="AL26:AO26"/>
    <mergeCell ref="AL15:AO15"/>
    <mergeCell ref="AL16:AO16"/>
    <mergeCell ref="AL17:AO17"/>
    <mergeCell ref="AL18:AO18"/>
    <mergeCell ref="AL19:AO19"/>
    <mergeCell ref="AL21:AO21"/>
    <mergeCell ref="AL20:AO20"/>
    <mergeCell ref="F20:I20"/>
    <mergeCell ref="B15:E15"/>
    <mergeCell ref="B16:E16"/>
    <mergeCell ref="B17:E17"/>
    <mergeCell ref="F16:I16"/>
    <mergeCell ref="F17:I17"/>
    <mergeCell ref="F18:I18"/>
    <mergeCell ref="F19:I19"/>
    <mergeCell ref="F15:I15"/>
    <mergeCell ref="B22:E22"/>
    <mergeCell ref="B18:E18"/>
    <mergeCell ref="B19:E19"/>
    <mergeCell ref="B20:E20"/>
    <mergeCell ref="B21:E21"/>
    <mergeCell ref="AD12:AG12"/>
    <mergeCell ref="B12:E12"/>
    <mergeCell ref="B14:E14"/>
    <mergeCell ref="B13:E13"/>
    <mergeCell ref="F12:I12"/>
    <mergeCell ref="F13:I13"/>
    <mergeCell ref="F14:I14"/>
    <mergeCell ref="J12:M12"/>
    <mergeCell ref="J13:M13"/>
    <mergeCell ref="J14:M14"/>
    <mergeCell ref="J27:M27"/>
    <mergeCell ref="B9:D9"/>
    <mergeCell ref="B11:AX11"/>
    <mergeCell ref="AL12:AO12"/>
    <mergeCell ref="AL13:AO13"/>
    <mergeCell ref="AH12:AK12"/>
    <mergeCell ref="AH13:AK13"/>
    <mergeCell ref="B10:D10"/>
    <mergeCell ref="Z12:AC12"/>
    <mergeCell ref="Z13:AC13"/>
  </mergeCells>
  <conditionalFormatting sqref="F5">
    <cfRule type="cellIs" priority="1" dxfId="14" operator="equal" stopIfTrue="1">
      <formula>$BA$21</formula>
    </cfRule>
  </conditionalFormatting>
  <conditionalFormatting sqref="AN5:AX5">
    <cfRule type="cellIs" priority="2" dxfId="4" operator="equal" stopIfTrue="1">
      <formula>$BA$25</formula>
    </cfRule>
  </conditionalFormatting>
  <conditionalFormatting sqref="X5:AI5">
    <cfRule type="cellIs" priority="3" dxfId="15" operator="equal" stopIfTrue="1">
      <formula>$BA$13</formula>
    </cfRule>
    <cfRule type="expression" priority="4" dxfId="16" stopIfTrue="1">
      <formula>OR($BA$10=1,$BA$9="False")</formula>
    </cfRule>
  </conditionalFormatting>
  <conditionalFormatting sqref="AL13:AO27 R13:R27">
    <cfRule type="cellIs" priority="5" dxfId="4" operator="equal" stopIfTrue="1">
      <formula>"地形を選択"</formula>
    </cfRule>
  </conditionalFormatting>
  <conditionalFormatting sqref="J13:M27 AD13:AG27">
    <cfRule type="cellIs" priority="6" dxfId="4" operator="greaterThan" stopIfTrue="1">
      <formula>N13/1000</formula>
    </cfRule>
  </conditionalFormatting>
  <dataValidations count="4">
    <dataValidation type="list" allowBlank="1" showInputMessage="1" showErrorMessage="1" sqref="AO5:AX5">
      <formula1>BB21:BB23</formula1>
    </dataValidation>
    <dataValidation type="list" allowBlank="1" showInputMessage="1" showErrorMessage="1" sqref="AN5">
      <formula1>BA25:BA27</formula1>
    </dataValidation>
    <dataValidation type="list" allowBlank="1" showInputMessage="1" showErrorMessage="1" sqref="X5:AI5">
      <formula1>IF($BA$10=2,$BA$13:$BA$17,IF($BA$10=3,$BA$18:$BA$20,$BA$13))</formula1>
    </dataValidation>
    <dataValidation type="list" allowBlank="1" showInputMessage="1" showErrorMessage="1" sqref="F5">
      <formula1>$BA$21:$BA$24</formula1>
    </dataValidation>
  </dataValidations>
  <hyperlinks>
    <hyperlink ref="B2:E2" location="業務情報!A1" tooltip="業務情報シートに移動" display="業務情報"/>
  </hyperlinks>
  <printOptions horizontalCentered="1" verticalCentered="1"/>
  <pageMargins left="0.5905511811023623" right="0.5905511811023623" top="0.984251968503937" bottom="0.7874015748031497" header="0.5118110236220472" footer="0.5118110236220472"/>
  <pageSetup blackAndWhite="1" fitToHeight="1" fitToWidth="1" horizontalDpi="600" verticalDpi="600" orientation="landscape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>
    <tabColor indexed="43"/>
  </sheetPr>
  <dimension ref="A1:S34"/>
  <sheetViews>
    <sheetView showGridLines="0" showRowColHeaders="0" workbookViewId="0" topLeftCell="A1">
      <selection activeCell="A1" sqref="A1"/>
    </sheetView>
  </sheetViews>
  <sheetFormatPr defaultColWidth="8.625" defaultRowHeight="13.5"/>
  <cols>
    <col min="1" max="1" width="5.00390625" style="0" customWidth="1"/>
    <col min="2" max="3" width="6.375" style="0" customWidth="1"/>
    <col min="4" max="4" width="12.875" style="0" customWidth="1"/>
    <col min="5" max="12" width="5.25390625" style="0" customWidth="1"/>
    <col min="13" max="14" width="2.75390625" style="0" customWidth="1"/>
    <col min="15" max="16" width="5.25390625" style="0" customWidth="1"/>
    <col min="17" max="18" width="2.75390625" style="0" customWidth="1"/>
    <col min="19" max="19" width="10.00390625" style="0" customWidth="1"/>
  </cols>
  <sheetData>
    <row r="1" spans="2:18" ht="15" customHeight="1"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</row>
    <row r="2" spans="2:18" ht="24" customHeight="1">
      <c r="B2" s="607" t="s">
        <v>388</v>
      </c>
      <c r="C2" s="607"/>
      <c r="D2" s="608" t="s">
        <v>402</v>
      </c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</row>
    <row r="3" spans="2:18" ht="21" customHeight="1">
      <c r="B3" s="605" t="s">
        <v>44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</row>
    <row r="4" spans="2:18" ht="21" customHeight="1"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</row>
    <row r="5" spans="2:18" ht="30" customHeight="1">
      <c r="B5" s="834" t="s">
        <v>403</v>
      </c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</row>
    <row r="6" spans="2:19" ht="27" customHeight="1">
      <c r="B6" s="1250" t="s">
        <v>76</v>
      </c>
      <c r="C6" s="1251"/>
      <c r="D6" s="1252"/>
      <c r="E6" s="1250" t="s">
        <v>77</v>
      </c>
      <c r="F6" s="1252"/>
      <c r="G6" s="1251" t="s">
        <v>47</v>
      </c>
      <c r="H6" s="1251"/>
      <c r="I6" s="1251"/>
      <c r="J6" s="1252"/>
      <c r="K6" s="1250" t="s">
        <v>78</v>
      </c>
      <c r="L6" s="1251"/>
      <c r="M6" s="1251"/>
      <c r="N6" s="1252"/>
      <c r="O6" s="1250" t="s">
        <v>79</v>
      </c>
      <c r="P6" s="1251"/>
      <c r="Q6" s="1251"/>
      <c r="R6" s="1252"/>
      <c r="S6" s="122"/>
    </row>
    <row r="7" spans="2:19" ht="30" customHeight="1">
      <c r="B7" s="500" t="str">
        <f>IF($BJ$12=1,"",IF('業務情報'!$C$6="","",IF('業務情報'!$C$6="","",'業務情報'!$C$6)))</f>
        <v>○○市　○○地区</v>
      </c>
      <c r="C7" s="501"/>
      <c r="D7" s="502"/>
      <c r="E7" s="467" t="s">
        <v>467</v>
      </c>
      <c r="F7" s="469"/>
      <c r="G7" s="501" t="str">
        <f>IF($BJ$12=1,"",IF('業務情報'!$E$4="","",'業務情報'!$E$4))</f>
        <v>（有）サーベイテック</v>
      </c>
      <c r="H7" s="501"/>
      <c r="I7" s="501"/>
      <c r="J7" s="502"/>
      <c r="K7" s="500" t="str">
        <f>IF($BJ$12=1,"",IF('業務情報'!$G$3="","",'業務情報'!$G$3))</f>
        <v>兎位瑠度　逓津宇</v>
      </c>
      <c r="L7" s="501"/>
      <c r="M7" s="501"/>
      <c r="N7" s="42" t="s">
        <v>125</v>
      </c>
      <c r="O7" s="501" t="str">
        <f>IF($BJ$12=1,"",IF('業務情報'!$G$4="","",'業務情報'!$G$4))</f>
        <v>曽木亜　説戸</v>
      </c>
      <c r="P7" s="1278"/>
      <c r="Q7" s="1278"/>
      <c r="R7" s="104" t="s">
        <v>125</v>
      </c>
      <c r="S7" s="1"/>
    </row>
    <row r="8" spans="2:19" ht="27" customHeight="1">
      <c r="B8" s="369" t="s">
        <v>80</v>
      </c>
      <c r="C8" s="370"/>
      <c r="D8" s="371"/>
      <c r="E8" s="467">
        <v>1</v>
      </c>
      <c r="F8" s="469"/>
      <c r="G8" s="467"/>
      <c r="H8" s="469"/>
      <c r="I8" s="467"/>
      <c r="J8" s="469"/>
      <c r="K8" s="467"/>
      <c r="L8" s="469"/>
      <c r="M8" s="467"/>
      <c r="N8" s="468"/>
      <c r="O8" s="469"/>
      <c r="P8" s="376"/>
      <c r="Q8" s="377"/>
      <c r="R8" s="378"/>
      <c r="S8" s="122"/>
    </row>
    <row r="9" spans="1:19" ht="18" customHeight="1">
      <c r="A9" s="99"/>
      <c r="B9" s="1253" t="s">
        <v>396</v>
      </c>
      <c r="C9" s="1253"/>
      <c r="D9" s="204" t="s">
        <v>383</v>
      </c>
      <c r="E9" s="1257" t="s">
        <v>81</v>
      </c>
      <c r="F9" s="1262" t="s">
        <v>82</v>
      </c>
      <c r="G9" s="1262" t="s">
        <v>81</v>
      </c>
      <c r="H9" s="1262" t="s">
        <v>82</v>
      </c>
      <c r="I9" s="1262" t="s">
        <v>81</v>
      </c>
      <c r="J9" s="1262" t="s">
        <v>82</v>
      </c>
      <c r="K9" s="1262" t="s">
        <v>81</v>
      </c>
      <c r="L9" s="1262" t="s">
        <v>82</v>
      </c>
      <c r="M9" s="1256" t="s">
        <v>81</v>
      </c>
      <c r="N9" s="1257"/>
      <c r="O9" s="1262" t="s">
        <v>82</v>
      </c>
      <c r="P9" s="1262" t="s">
        <v>81</v>
      </c>
      <c r="Q9" s="1256" t="s">
        <v>82</v>
      </c>
      <c r="R9" s="1257"/>
      <c r="S9" s="122"/>
    </row>
    <row r="10" spans="1:19" ht="18" customHeight="1">
      <c r="A10" s="99"/>
      <c r="B10" s="374" t="s">
        <v>83</v>
      </c>
      <c r="C10" s="374"/>
      <c r="D10" s="207"/>
      <c r="E10" s="1259"/>
      <c r="F10" s="1263"/>
      <c r="G10" s="1263"/>
      <c r="H10" s="1263"/>
      <c r="I10" s="1263"/>
      <c r="J10" s="1263"/>
      <c r="K10" s="1263"/>
      <c r="L10" s="1263"/>
      <c r="M10" s="1258"/>
      <c r="N10" s="1259"/>
      <c r="O10" s="1263"/>
      <c r="P10" s="1263"/>
      <c r="Q10" s="1258"/>
      <c r="R10" s="1259"/>
      <c r="S10" s="122"/>
    </row>
    <row r="11" spans="2:19" ht="24" customHeight="1">
      <c r="B11" s="1086" t="s">
        <v>367</v>
      </c>
      <c r="C11" s="1087"/>
      <c r="D11" s="1088"/>
      <c r="E11" s="17"/>
      <c r="F11" s="17"/>
      <c r="G11" s="17"/>
      <c r="H11" s="17"/>
      <c r="I11" s="17"/>
      <c r="J11" s="17"/>
      <c r="K11" s="17"/>
      <c r="L11" s="17"/>
      <c r="M11" s="1248"/>
      <c r="N11" s="1249"/>
      <c r="O11" s="17"/>
      <c r="P11" s="17"/>
      <c r="Q11" s="1248"/>
      <c r="R11" s="1249"/>
      <c r="S11" s="122"/>
    </row>
    <row r="12" spans="2:19" ht="24" customHeight="1">
      <c r="B12" s="1086" t="s">
        <v>366</v>
      </c>
      <c r="C12" s="1087"/>
      <c r="D12" s="1088"/>
      <c r="E12" s="17"/>
      <c r="F12" s="17"/>
      <c r="G12" s="17"/>
      <c r="H12" s="17"/>
      <c r="I12" s="17"/>
      <c r="J12" s="17"/>
      <c r="K12" s="17"/>
      <c r="L12" s="17"/>
      <c r="M12" s="1248"/>
      <c r="N12" s="1249"/>
      <c r="O12" s="17"/>
      <c r="P12" s="17"/>
      <c r="Q12" s="1248"/>
      <c r="R12" s="1249"/>
      <c r="S12" s="122"/>
    </row>
    <row r="13" spans="2:19" ht="24" customHeight="1">
      <c r="B13" s="1086" t="s">
        <v>365</v>
      </c>
      <c r="C13" s="1087"/>
      <c r="D13" s="1088"/>
      <c r="E13" s="17"/>
      <c r="F13" s="17"/>
      <c r="G13" s="17"/>
      <c r="H13" s="17"/>
      <c r="I13" s="17"/>
      <c r="J13" s="17"/>
      <c r="K13" s="17"/>
      <c r="L13" s="17"/>
      <c r="M13" s="1248"/>
      <c r="N13" s="1249"/>
      <c r="O13" s="17"/>
      <c r="P13" s="17"/>
      <c r="Q13" s="1260"/>
      <c r="R13" s="1261"/>
      <c r="S13" s="122"/>
    </row>
    <row r="14" spans="2:19" ht="24" customHeight="1">
      <c r="B14" s="1086" t="s">
        <v>364</v>
      </c>
      <c r="C14" s="1087"/>
      <c r="D14" s="1088"/>
      <c r="E14" s="17"/>
      <c r="F14" s="17"/>
      <c r="G14" s="17"/>
      <c r="H14" s="17"/>
      <c r="I14" s="17"/>
      <c r="J14" s="17"/>
      <c r="K14" s="17"/>
      <c r="L14" s="17"/>
      <c r="M14" s="1248"/>
      <c r="N14" s="1249"/>
      <c r="O14" s="17"/>
      <c r="P14" s="17"/>
      <c r="Q14" s="1248"/>
      <c r="R14" s="1249"/>
      <c r="S14" s="122"/>
    </row>
    <row r="15" spans="2:19" ht="24" customHeight="1">
      <c r="B15" s="1086" t="s">
        <v>363</v>
      </c>
      <c r="C15" s="1087"/>
      <c r="D15" s="1088"/>
      <c r="E15" s="17"/>
      <c r="F15" s="17"/>
      <c r="G15" s="17"/>
      <c r="H15" s="17"/>
      <c r="I15" s="17"/>
      <c r="J15" s="17"/>
      <c r="K15" s="17"/>
      <c r="L15" s="17"/>
      <c r="M15" s="1248"/>
      <c r="N15" s="1249"/>
      <c r="O15" s="17"/>
      <c r="P15" s="17"/>
      <c r="Q15" s="1264"/>
      <c r="R15" s="1265"/>
      <c r="S15" s="122"/>
    </row>
    <row r="16" spans="2:19" ht="24" customHeight="1">
      <c r="B16" s="1086" t="s">
        <v>362</v>
      </c>
      <c r="C16" s="1087"/>
      <c r="D16" s="1088"/>
      <c r="E16" s="17"/>
      <c r="F16" s="17"/>
      <c r="G16" s="17"/>
      <c r="H16" s="17"/>
      <c r="I16" s="17"/>
      <c r="J16" s="17"/>
      <c r="K16" s="17"/>
      <c r="L16" s="17"/>
      <c r="M16" s="1248"/>
      <c r="N16" s="1249"/>
      <c r="O16" s="17"/>
      <c r="P16" s="17"/>
      <c r="Q16" s="1248"/>
      <c r="R16" s="1249"/>
      <c r="S16" s="122"/>
    </row>
    <row r="17" spans="2:19" ht="24" customHeight="1">
      <c r="B17" s="1086" t="s">
        <v>361</v>
      </c>
      <c r="C17" s="1087"/>
      <c r="D17" s="1088"/>
      <c r="E17" s="17"/>
      <c r="F17" s="17"/>
      <c r="G17" s="17"/>
      <c r="H17" s="17"/>
      <c r="I17" s="17"/>
      <c r="J17" s="17"/>
      <c r="K17" s="17"/>
      <c r="L17" s="17"/>
      <c r="M17" s="1248"/>
      <c r="N17" s="1249"/>
      <c r="O17" s="17"/>
      <c r="P17" s="17"/>
      <c r="Q17" s="1260"/>
      <c r="R17" s="1261"/>
      <c r="S17" s="122"/>
    </row>
    <row r="18" spans="2:19" ht="24" customHeight="1">
      <c r="B18" s="1086" t="s">
        <v>360</v>
      </c>
      <c r="C18" s="1087"/>
      <c r="D18" s="1088"/>
      <c r="E18" s="17"/>
      <c r="F18" s="17"/>
      <c r="G18" s="17"/>
      <c r="H18" s="17"/>
      <c r="I18" s="17"/>
      <c r="J18" s="17"/>
      <c r="K18" s="17"/>
      <c r="L18" s="17"/>
      <c r="M18" s="1248"/>
      <c r="N18" s="1249"/>
      <c r="O18" s="17"/>
      <c r="P18" s="17"/>
      <c r="Q18" s="1248"/>
      <c r="R18" s="1249"/>
      <c r="S18" s="122"/>
    </row>
    <row r="19" spans="2:19" ht="24" customHeight="1">
      <c r="B19" s="1086" t="s">
        <v>359</v>
      </c>
      <c r="C19" s="1087"/>
      <c r="D19" s="1088"/>
      <c r="E19" s="17"/>
      <c r="F19" s="17"/>
      <c r="G19" s="17"/>
      <c r="H19" s="17"/>
      <c r="I19" s="17"/>
      <c r="J19" s="17"/>
      <c r="K19" s="17"/>
      <c r="L19" s="17"/>
      <c r="M19" s="1248"/>
      <c r="N19" s="1249"/>
      <c r="O19" s="17"/>
      <c r="P19" s="17"/>
      <c r="Q19" s="1260"/>
      <c r="R19" s="1261"/>
      <c r="S19" s="122"/>
    </row>
    <row r="20" spans="1:19" ht="24" customHeight="1">
      <c r="A20" s="99"/>
      <c r="B20" s="242" t="s">
        <v>400</v>
      </c>
      <c r="C20" s="1087" t="s">
        <v>380</v>
      </c>
      <c r="D20" s="1088"/>
      <c r="E20" s="17"/>
      <c r="F20" s="17"/>
      <c r="G20" s="17"/>
      <c r="H20" s="17"/>
      <c r="I20" s="17"/>
      <c r="J20" s="17"/>
      <c r="K20" s="17"/>
      <c r="L20" s="17"/>
      <c r="M20" s="1248"/>
      <c r="N20" s="1249"/>
      <c r="O20" s="17"/>
      <c r="P20" s="17"/>
      <c r="Q20" s="1248"/>
      <c r="R20" s="1249"/>
      <c r="S20" s="122"/>
    </row>
    <row r="21" spans="1:19" ht="24" customHeight="1">
      <c r="A21" s="99"/>
      <c r="B21" s="231" t="s">
        <v>411</v>
      </c>
      <c r="C21" s="1087" t="s">
        <v>401</v>
      </c>
      <c r="D21" s="1088"/>
      <c r="E21" s="17"/>
      <c r="F21" s="17"/>
      <c r="G21" s="17"/>
      <c r="H21" s="17"/>
      <c r="I21" s="17"/>
      <c r="J21" s="17"/>
      <c r="K21" s="17"/>
      <c r="L21" s="17"/>
      <c r="M21" s="1248"/>
      <c r="N21" s="1249"/>
      <c r="O21" s="17"/>
      <c r="P21" s="17"/>
      <c r="Q21" s="1260"/>
      <c r="R21" s="1261"/>
      <c r="S21" s="122"/>
    </row>
    <row r="22" spans="2:19" ht="24" customHeight="1">
      <c r="B22" s="1086" t="s">
        <v>358</v>
      </c>
      <c r="C22" s="1087"/>
      <c r="D22" s="1088"/>
      <c r="E22" s="17"/>
      <c r="F22" s="17"/>
      <c r="G22" s="17"/>
      <c r="H22" s="17"/>
      <c r="I22" s="17"/>
      <c r="J22" s="17"/>
      <c r="K22" s="17"/>
      <c r="L22" s="17"/>
      <c r="M22" s="1248"/>
      <c r="N22" s="1249"/>
      <c r="O22" s="17"/>
      <c r="P22" s="17"/>
      <c r="Q22" s="1248"/>
      <c r="R22" s="1249"/>
      <c r="S22" s="122"/>
    </row>
    <row r="23" spans="2:19" ht="24" customHeight="1">
      <c r="B23" s="1086" t="s">
        <v>357</v>
      </c>
      <c r="C23" s="1087"/>
      <c r="D23" s="1088"/>
      <c r="E23" s="17"/>
      <c r="F23" s="17"/>
      <c r="G23" s="17"/>
      <c r="H23" s="17"/>
      <c r="I23" s="17"/>
      <c r="J23" s="17"/>
      <c r="K23" s="17"/>
      <c r="L23" s="17"/>
      <c r="M23" s="1248"/>
      <c r="N23" s="1249"/>
      <c r="O23" s="17"/>
      <c r="P23" s="17"/>
      <c r="Q23" s="1260"/>
      <c r="R23" s="1261"/>
      <c r="S23" s="122"/>
    </row>
    <row r="24" spans="2:19" ht="24" customHeight="1">
      <c r="B24" s="1272" t="s">
        <v>356</v>
      </c>
      <c r="C24" s="1273"/>
      <c r="D24" s="1274"/>
      <c r="E24" s="17"/>
      <c r="F24" s="17"/>
      <c r="G24" s="17"/>
      <c r="H24" s="17"/>
      <c r="I24" s="17"/>
      <c r="J24" s="17"/>
      <c r="K24" s="17"/>
      <c r="L24" s="17"/>
      <c r="M24" s="1248"/>
      <c r="N24" s="1249"/>
      <c r="O24" s="17"/>
      <c r="P24" s="17"/>
      <c r="Q24" s="1248"/>
      <c r="R24" s="1249"/>
      <c r="S24" s="122"/>
    </row>
    <row r="25" spans="1:19" ht="24" customHeight="1">
      <c r="A25" s="99"/>
      <c r="B25" s="1275" t="s">
        <v>460</v>
      </c>
      <c r="C25" s="1086" t="s">
        <v>463</v>
      </c>
      <c r="D25" s="1088"/>
      <c r="E25" s="208"/>
      <c r="F25" s="17"/>
      <c r="G25" s="17"/>
      <c r="H25" s="17"/>
      <c r="I25" s="17"/>
      <c r="J25" s="17"/>
      <c r="K25" s="17"/>
      <c r="L25" s="17"/>
      <c r="M25" s="1248"/>
      <c r="N25" s="1249"/>
      <c r="O25" s="17"/>
      <c r="P25" s="17"/>
      <c r="Q25" s="1260"/>
      <c r="R25" s="1261"/>
      <c r="S25" s="122"/>
    </row>
    <row r="26" spans="1:19" ht="24" customHeight="1">
      <c r="A26" s="99"/>
      <c r="B26" s="1276"/>
      <c r="C26" s="1086" t="s">
        <v>462</v>
      </c>
      <c r="D26" s="1088"/>
      <c r="E26" s="208"/>
      <c r="F26" s="17"/>
      <c r="G26" s="17"/>
      <c r="H26" s="17"/>
      <c r="I26" s="17"/>
      <c r="J26" s="17"/>
      <c r="K26" s="17"/>
      <c r="L26" s="17"/>
      <c r="M26" s="1248"/>
      <c r="N26" s="1249"/>
      <c r="O26" s="17"/>
      <c r="P26" s="17"/>
      <c r="Q26" s="1248"/>
      <c r="R26" s="1249"/>
      <c r="S26" s="122"/>
    </row>
    <row r="27" spans="1:19" ht="24" customHeight="1">
      <c r="A27" s="99"/>
      <c r="B27" s="1276"/>
      <c r="C27" s="1086" t="s">
        <v>461</v>
      </c>
      <c r="D27" s="1088"/>
      <c r="E27" s="208"/>
      <c r="F27" s="17"/>
      <c r="G27" s="17"/>
      <c r="H27" s="17"/>
      <c r="I27" s="17"/>
      <c r="J27" s="17"/>
      <c r="K27" s="17"/>
      <c r="L27" s="17"/>
      <c r="M27" s="1248"/>
      <c r="N27" s="1249"/>
      <c r="O27" s="17"/>
      <c r="P27" s="17"/>
      <c r="Q27" s="1260"/>
      <c r="R27" s="1261"/>
      <c r="S27" s="122"/>
    </row>
    <row r="28" spans="1:19" ht="24" customHeight="1">
      <c r="A28" s="99"/>
      <c r="B28" s="1276"/>
      <c r="C28" s="1086" t="s">
        <v>464</v>
      </c>
      <c r="D28" s="1088"/>
      <c r="E28" s="208"/>
      <c r="F28" s="17"/>
      <c r="G28" s="17"/>
      <c r="H28" s="17"/>
      <c r="I28" s="17"/>
      <c r="J28" s="17"/>
      <c r="K28" s="17"/>
      <c r="L28" s="17"/>
      <c r="M28" s="1248"/>
      <c r="N28" s="1249"/>
      <c r="O28" s="17"/>
      <c r="P28" s="17"/>
      <c r="Q28" s="1248"/>
      <c r="R28" s="1249"/>
      <c r="S28" s="122"/>
    </row>
    <row r="29" spans="1:19" ht="24" customHeight="1">
      <c r="A29" s="99"/>
      <c r="B29" s="1276"/>
      <c r="C29" s="1086" t="s">
        <v>465</v>
      </c>
      <c r="D29" s="1088"/>
      <c r="E29" s="208"/>
      <c r="F29" s="17"/>
      <c r="G29" s="17"/>
      <c r="H29" s="17"/>
      <c r="I29" s="17"/>
      <c r="J29" s="17"/>
      <c r="K29" s="17"/>
      <c r="L29" s="17"/>
      <c r="M29" s="1248"/>
      <c r="N29" s="1249"/>
      <c r="O29" s="17"/>
      <c r="P29" s="17"/>
      <c r="Q29" s="1260"/>
      <c r="R29" s="1261"/>
      <c r="S29" s="122"/>
    </row>
    <row r="30" spans="1:19" ht="24" customHeight="1">
      <c r="A30" s="99"/>
      <c r="B30" s="1277"/>
      <c r="C30" s="1269" t="s">
        <v>466</v>
      </c>
      <c r="D30" s="1271"/>
      <c r="E30" s="208"/>
      <c r="F30" s="17"/>
      <c r="G30" s="17"/>
      <c r="H30" s="17"/>
      <c r="I30" s="17"/>
      <c r="J30" s="17"/>
      <c r="K30" s="17"/>
      <c r="L30" s="17"/>
      <c r="M30" s="1248"/>
      <c r="N30" s="1249"/>
      <c r="O30" s="17"/>
      <c r="P30" s="17"/>
      <c r="Q30" s="1248"/>
      <c r="R30" s="1249"/>
      <c r="S30" s="122"/>
    </row>
    <row r="31" spans="2:19" ht="24" customHeight="1">
      <c r="B31" s="1269" t="s">
        <v>459</v>
      </c>
      <c r="C31" s="1270"/>
      <c r="D31" s="1271"/>
      <c r="E31" s="17"/>
      <c r="F31" s="17"/>
      <c r="G31" s="17"/>
      <c r="H31" s="17"/>
      <c r="I31" s="17"/>
      <c r="J31" s="17"/>
      <c r="K31" s="17"/>
      <c r="L31" s="17"/>
      <c r="M31" s="1248"/>
      <c r="N31" s="1249"/>
      <c r="O31" s="17"/>
      <c r="P31" s="17"/>
      <c r="Q31" s="1260"/>
      <c r="R31" s="1261"/>
      <c r="S31" s="122"/>
    </row>
    <row r="32" spans="2:19" ht="24" customHeight="1">
      <c r="B32" s="1086" t="s">
        <v>397</v>
      </c>
      <c r="C32" s="1087"/>
      <c r="D32" s="1088"/>
      <c r="E32" s="17"/>
      <c r="F32" s="17"/>
      <c r="G32" s="17"/>
      <c r="H32" s="17"/>
      <c r="I32" s="17"/>
      <c r="J32" s="17"/>
      <c r="K32" s="17"/>
      <c r="L32" s="17"/>
      <c r="M32" s="1248"/>
      <c r="N32" s="1249"/>
      <c r="O32" s="17"/>
      <c r="P32" s="17"/>
      <c r="Q32" s="1248"/>
      <c r="R32" s="1249"/>
      <c r="S32" s="122"/>
    </row>
    <row r="33" spans="2:19" ht="24" customHeight="1">
      <c r="B33" s="1266" t="s">
        <v>355</v>
      </c>
      <c r="C33" s="1267"/>
      <c r="D33" s="1268"/>
      <c r="E33" s="17"/>
      <c r="F33" s="17"/>
      <c r="G33" s="17"/>
      <c r="H33" s="17"/>
      <c r="I33" s="17"/>
      <c r="J33" s="17"/>
      <c r="K33" s="17"/>
      <c r="L33" s="17"/>
      <c r="M33" s="1248"/>
      <c r="N33" s="1249"/>
      <c r="O33" s="17"/>
      <c r="P33" s="17"/>
      <c r="Q33" s="1254"/>
      <c r="R33" s="1255"/>
      <c r="S33" s="122"/>
    </row>
    <row r="34" spans="2:19" ht="24" customHeight="1">
      <c r="B34" s="1266" t="s">
        <v>354</v>
      </c>
      <c r="C34" s="1267"/>
      <c r="D34" s="1268"/>
      <c r="E34" s="65"/>
      <c r="F34" s="66"/>
      <c r="G34" s="65"/>
      <c r="H34" s="66"/>
      <c r="I34" s="65"/>
      <c r="J34" s="66"/>
      <c r="K34" s="65"/>
      <c r="L34" s="66"/>
      <c r="M34" s="662"/>
      <c r="N34" s="663"/>
      <c r="O34" s="66"/>
      <c r="P34" s="65"/>
      <c r="Q34" s="663"/>
      <c r="R34" s="664"/>
      <c r="S34" s="122"/>
    </row>
  </sheetData>
  <sheetProtection sheet="1" objects="1" scenarios="1" formatCells="0"/>
  <mergeCells count="110">
    <mergeCell ref="B10:C10"/>
    <mergeCell ref="E8:F8"/>
    <mergeCell ref="K7:M7"/>
    <mergeCell ref="M8:O8"/>
    <mergeCell ref="G8:H8"/>
    <mergeCell ref="I8:J8"/>
    <mergeCell ref="O7:Q7"/>
    <mergeCell ref="E9:E10"/>
    <mergeCell ref="F9:F10"/>
    <mergeCell ref="G9:G10"/>
    <mergeCell ref="L9:L10"/>
    <mergeCell ref="O9:O10"/>
    <mergeCell ref="E6:F6"/>
    <mergeCell ref="E7:F7"/>
    <mergeCell ref="G6:J6"/>
    <mergeCell ref="G7:J7"/>
    <mergeCell ref="H9:H10"/>
    <mergeCell ref="B12:D12"/>
    <mergeCell ref="B13:D13"/>
    <mergeCell ref="Q13:R13"/>
    <mergeCell ref="M12:N12"/>
    <mergeCell ref="M13:N13"/>
    <mergeCell ref="B23:D23"/>
    <mergeCell ref="B24:D24"/>
    <mergeCell ref="B33:D33"/>
    <mergeCell ref="B25:B30"/>
    <mergeCell ref="C25:D25"/>
    <mergeCell ref="C30:D30"/>
    <mergeCell ref="C26:D26"/>
    <mergeCell ref="C27:D27"/>
    <mergeCell ref="C28:D28"/>
    <mergeCell ref="C29:D29"/>
    <mergeCell ref="M14:N14"/>
    <mergeCell ref="B5:R5"/>
    <mergeCell ref="B34:D34"/>
    <mergeCell ref="B6:D6"/>
    <mergeCell ref="B7:D7"/>
    <mergeCell ref="B8:D8"/>
    <mergeCell ref="B31:D31"/>
    <mergeCell ref="B32:D32"/>
    <mergeCell ref="B22:D22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M26:N26"/>
    <mergeCell ref="M27:N27"/>
    <mergeCell ref="M28:N28"/>
    <mergeCell ref="M29:N29"/>
    <mergeCell ref="M30:N30"/>
    <mergeCell ref="M31:N31"/>
    <mergeCell ref="M32:N32"/>
    <mergeCell ref="M33:N3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B1:R1"/>
    <mergeCell ref="B3:R3"/>
    <mergeCell ref="B4:R4"/>
    <mergeCell ref="K8:L8"/>
    <mergeCell ref="K9:K10"/>
    <mergeCell ref="I9:I10"/>
    <mergeCell ref="J9:J10"/>
    <mergeCell ref="Q33:R33"/>
    <mergeCell ref="M34:N34"/>
    <mergeCell ref="Q34:R34"/>
    <mergeCell ref="Q9:R10"/>
    <mergeCell ref="Q29:R29"/>
    <mergeCell ref="Q30:R30"/>
    <mergeCell ref="Q31:R31"/>
    <mergeCell ref="Q32:R32"/>
    <mergeCell ref="M9:N10"/>
    <mergeCell ref="P9:P10"/>
    <mergeCell ref="B9:C9"/>
    <mergeCell ref="C20:D20"/>
    <mergeCell ref="C21:D21"/>
    <mergeCell ref="B18:D18"/>
    <mergeCell ref="B19:D19"/>
    <mergeCell ref="B16:D16"/>
    <mergeCell ref="B17:D17"/>
    <mergeCell ref="B14:D14"/>
    <mergeCell ref="B15:D15"/>
    <mergeCell ref="B11:D11"/>
    <mergeCell ref="D2:R2"/>
    <mergeCell ref="B2:C2"/>
    <mergeCell ref="K6:N6"/>
    <mergeCell ref="O6:R6"/>
    <mergeCell ref="P8:R8"/>
    <mergeCell ref="M11:N11"/>
    <mergeCell ref="Q11:R11"/>
    <mergeCell ref="Q12:R12"/>
  </mergeCells>
  <hyperlinks>
    <hyperlink ref="B2:C2" location="業務情報!A1" tooltip="業務情報シートに移動" display="業務情報"/>
  </hyperlinks>
  <printOptions/>
  <pageMargins left="0.7874015748031497" right="0.3937007874015748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5">
    <tabColor indexed="43"/>
  </sheetPr>
  <dimension ref="A1:S34"/>
  <sheetViews>
    <sheetView showGridLines="0" showRowColHeaders="0" workbookViewId="0" topLeftCell="A1">
      <selection activeCell="A1" sqref="A1"/>
    </sheetView>
  </sheetViews>
  <sheetFormatPr defaultColWidth="8.625" defaultRowHeight="13.5"/>
  <cols>
    <col min="1" max="1" width="5.00390625" style="0" customWidth="1"/>
    <col min="2" max="3" width="6.375" style="0" customWidth="1"/>
    <col min="4" max="4" width="12.875" style="0" customWidth="1"/>
    <col min="5" max="12" width="5.25390625" style="0" customWidth="1"/>
    <col min="13" max="14" width="2.75390625" style="0" customWidth="1"/>
    <col min="15" max="16" width="5.25390625" style="0" customWidth="1"/>
    <col min="17" max="18" width="2.75390625" style="0" customWidth="1"/>
    <col min="19" max="19" width="10.00390625" style="0" customWidth="1"/>
  </cols>
  <sheetData>
    <row r="1" spans="2:18" ht="15" customHeight="1"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</row>
    <row r="2" spans="2:18" ht="24" customHeight="1">
      <c r="B2" s="607" t="s">
        <v>388</v>
      </c>
      <c r="C2" s="607"/>
      <c r="D2" s="608" t="s">
        <v>398</v>
      </c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</row>
    <row r="3" spans="2:18" ht="21" customHeight="1">
      <c r="B3" s="605" t="s">
        <v>44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</row>
    <row r="4" spans="2:18" ht="21" customHeight="1"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</row>
    <row r="5" spans="2:18" ht="30" customHeight="1">
      <c r="B5" s="834" t="s">
        <v>399</v>
      </c>
      <c r="C5" s="834"/>
      <c r="D5" s="834"/>
      <c r="E5" s="834"/>
      <c r="F5" s="834"/>
      <c r="G5" s="834"/>
      <c r="H5" s="834"/>
      <c r="I5" s="834"/>
      <c r="J5" s="834"/>
      <c r="K5" s="834"/>
      <c r="L5" s="834"/>
      <c r="M5" s="834"/>
      <c r="N5" s="834"/>
      <c r="O5" s="834"/>
      <c r="P5" s="834"/>
      <c r="Q5" s="834"/>
      <c r="R5" s="834"/>
    </row>
    <row r="6" spans="2:19" ht="27" customHeight="1">
      <c r="B6" s="1250" t="s">
        <v>76</v>
      </c>
      <c r="C6" s="1251"/>
      <c r="D6" s="1252"/>
      <c r="E6" s="1250" t="s">
        <v>77</v>
      </c>
      <c r="F6" s="1252"/>
      <c r="G6" s="1251" t="s">
        <v>47</v>
      </c>
      <c r="H6" s="1251"/>
      <c r="I6" s="1251"/>
      <c r="J6" s="1252"/>
      <c r="K6" s="1250" t="s">
        <v>78</v>
      </c>
      <c r="L6" s="1251"/>
      <c r="M6" s="1251"/>
      <c r="N6" s="1252"/>
      <c r="O6" s="1250" t="s">
        <v>79</v>
      </c>
      <c r="P6" s="1251"/>
      <c r="Q6" s="1251"/>
      <c r="R6" s="1252"/>
      <c r="S6" s="122"/>
    </row>
    <row r="7" spans="2:19" ht="30" customHeight="1">
      <c r="B7" s="500" t="str">
        <f>IF($BJ$12=1,"",IF('業務情報'!$C$6="","",IF('業務情報'!$C$6="","",'業務情報'!$C$6)))</f>
        <v>○○市　○○地区</v>
      </c>
      <c r="C7" s="501"/>
      <c r="D7" s="502"/>
      <c r="E7" s="467" t="s">
        <v>467</v>
      </c>
      <c r="F7" s="469"/>
      <c r="G7" s="501" t="str">
        <f>IF($BJ$12=1,"",IF('業務情報'!$E$4="","",'業務情報'!$E$4))</f>
        <v>（有）サーベイテック</v>
      </c>
      <c r="H7" s="501"/>
      <c r="I7" s="501"/>
      <c r="J7" s="502"/>
      <c r="K7" s="500" t="str">
        <f>IF($BJ$12=1,"",IF('業務情報'!$G$3="","",'業務情報'!$G$3))</f>
        <v>兎位瑠度　逓津宇</v>
      </c>
      <c r="L7" s="501"/>
      <c r="M7" s="501"/>
      <c r="N7" s="42" t="s">
        <v>125</v>
      </c>
      <c r="O7" s="501" t="str">
        <f>IF($BJ$12=1,"",IF('業務情報'!$G$4="","",'業務情報'!$G$4))</f>
        <v>曽木亜　説戸</v>
      </c>
      <c r="P7" s="1278"/>
      <c r="Q7" s="1278"/>
      <c r="R7" s="104" t="s">
        <v>125</v>
      </c>
      <c r="S7" s="1"/>
    </row>
    <row r="8" spans="2:19" ht="27" customHeight="1">
      <c r="B8" s="369" t="s">
        <v>80</v>
      </c>
      <c r="C8" s="370"/>
      <c r="D8" s="371"/>
      <c r="E8" s="467">
        <v>1</v>
      </c>
      <c r="F8" s="469"/>
      <c r="G8" s="467"/>
      <c r="H8" s="469"/>
      <c r="I8" s="467"/>
      <c r="J8" s="469"/>
      <c r="K8" s="467"/>
      <c r="L8" s="469"/>
      <c r="M8" s="467"/>
      <c r="N8" s="468"/>
      <c r="O8" s="469"/>
      <c r="P8" s="376"/>
      <c r="Q8" s="377"/>
      <c r="R8" s="378"/>
      <c r="S8" s="122"/>
    </row>
    <row r="9" spans="1:19" ht="18" customHeight="1">
      <c r="A9" s="99"/>
      <c r="B9" s="1293" t="s">
        <v>382</v>
      </c>
      <c r="C9" s="1294"/>
      <c r="D9" s="204" t="s">
        <v>383</v>
      </c>
      <c r="E9" s="1257" t="s">
        <v>81</v>
      </c>
      <c r="F9" s="1262" t="s">
        <v>82</v>
      </c>
      <c r="G9" s="1262" t="s">
        <v>81</v>
      </c>
      <c r="H9" s="1262" t="s">
        <v>82</v>
      </c>
      <c r="I9" s="1262" t="s">
        <v>81</v>
      </c>
      <c r="J9" s="1262" t="s">
        <v>82</v>
      </c>
      <c r="K9" s="1262" t="s">
        <v>81</v>
      </c>
      <c r="L9" s="1262" t="s">
        <v>82</v>
      </c>
      <c r="M9" s="1256" t="s">
        <v>81</v>
      </c>
      <c r="N9" s="1257"/>
      <c r="O9" s="1262" t="s">
        <v>82</v>
      </c>
      <c r="P9" s="1262" t="s">
        <v>81</v>
      </c>
      <c r="Q9" s="1256" t="s">
        <v>82</v>
      </c>
      <c r="R9" s="1257"/>
      <c r="S9" s="122"/>
    </row>
    <row r="10" spans="1:19" ht="18" customHeight="1">
      <c r="A10" s="99"/>
      <c r="B10" s="308" t="s">
        <v>83</v>
      </c>
      <c r="C10" s="374"/>
      <c r="D10" s="209"/>
      <c r="E10" s="1259"/>
      <c r="F10" s="1263"/>
      <c r="G10" s="1263"/>
      <c r="H10" s="1263"/>
      <c r="I10" s="1263"/>
      <c r="J10" s="1263"/>
      <c r="K10" s="1263"/>
      <c r="L10" s="1263"/>
      <c r="M10" s="1258"/>
      <c r="N10" s="1259"/>
      <c r="O10" s="1263"/>
      <c r="P10" s="1263"/>
      <c r="Q10" s="1258"/>
      <c r="R10" s="1259"/>
      <c r="S10" s="122"/>
    </row>
    <row r="11" spans="2:19" ht="24" customHeight="1">
      <c r="B11" s="1290" t="s">
        <v>367</v>
      </c>
      <c r="C11" s="1291"/>
      <c r="D11" s="1292"/>
      <c r="E11" s="208"/>
      <c r="F11" s="17"/>
      <c r="G11" s="17"/>
      <c r="H11" s="17"/>
      <c r="I11" s="17"/>
      <c r="J11" s="17"/>
      <c r="K11" s="17"/>
      <c r="L11" s="17"/>
      <c r="M11" s="1248"/>
      <c r="N11" s="1249"/>
      <c r="O11" s="17"/>
      <c r="P11" s="17"/>
      <c r="Q11" s="1248"/>
      <c r="R11" s="1249"/>
      <c r="S11" s="122"/>
    </row>
    <row r="12" spans="2:19" ht="24" customHeight="1">
      <c r="B12" s="1287" t="s">
        <v>366</v>
      </c>
      <c r="C12" s="1288"/>
      <c r="D12" s="1289"/>
      <c r="E12" s="208"/>
      <c r="F12" s="17"/>
      <c r="G12" s="17"/>
      <c r="H12" s="17"/>
      <c r="I12" s="17"/>
      <c r="J12" s="17"/>
      <c r="K12" s="17"/>
      <c r="L12" s="17"/>
      <c r="M12" s="1248"/>
      <c r="N12" s="1249"/>
      <c r="O12" s="17"/>
      <c r="P12" s="17"/>
      <c r="Q12" s="1248"/>
      <c r="R12" s="1249"/>
      <c r="S12" s="122"/>
    </row>
    <row r="13" spans="2:19" ht="24" customHeight="1">
      <c r="B13" s="1287" t="s">
        <v>363</v>
      </c>
      <c r="C13" s="1288"/>
      <c r="D13" s="1289"/>
      <c r="E13" s="208"/>
      <c r="F13" s="17"/>
      <c r="G13" s="17"/>
      <c r="H13" s="17"/>
      <c r="I13" s="17"/>
      <c r="J13" s="17"/>
      <c r="K13" s="17"/>
      <c r="L13" s="17"/>
      <c r="M13" s="1248"/>
      <c r="N13" s="1249"/>
      <c r="O13" s="17"/>
      <c r="P13" s="17"/>
      <c r="Q13" s="1260"/>
      <c r="R13" s="1261"/>
      <c r="S13" s="122"/>
    </row>
    <row r="14" spans="2:19" ht="24" customHeight="1">
      <c r="B14" s="1284" t="s">
        <v>362</v>
      </c>
      <c r="C14" s="1285"/>
      <c r="D14" s="1286"/>
      <c r="E14" s="208"/>
      <c r="F14" s="17"/>
      <c r="G14" s="17"/>
      <c r="H14" s="17"/>
      <c r="I14" s="17"/>
      <c r="J14" s="17"/>
      <c r="K14" s="17"/>
      <c r="L14" s="17"/>
      <c r="M14" s="1248"/>
      <c r="N14" s="1249"/>
      <c r="O14" s="17"/>
      <c r="P14" s="17"/>
      <c r="Q14" s="1248"/>
      <c r="R14" s="1249"/>
      <c r="S14" s="122"/>
    </row>
    <row r="15" spans="2:19" ht="24" customHeight="1">
      <c r="B15" s="1287" t="s">
        <v>361</v>
      </c>
      <c r="C15" s="1288"/>
      <c r="D15" s="1289"/>
      <c r="E15" s="208"/>
      <c r="F15" s="17"/>
      <c r="G15" s="17"/>
      <c r="H15" s="17"/>
      <c r="I15" s="17"/>
      <c r="J15" s="17"/>
      <c r="K15" s="17"/>
      <c r="L15" s="17"/>
      <c r="M15" s="1248"/>
      <c r="N15" s="1249"/>
      <c r="O15" s="17"/>
      <c r="P15" s="17"/>
      <c r="Q15" s="1264"/>
      <c r="R15" s="1265"/>
      <c r="S15" s="122"/>
    </row>
    <row r="16" spans="2:19" ht="24" customHeight="1">
      <c r="B16" s="1281" t="s">
        <v>368</v>
      </c>
      <c r="C16" s="1282"/>
      <c r="D16" s="1283"/>
      <c r="E16" s="208"/>
      <c r="F16" s="17"/>
      <c r="G16" s="17"/>
      <c r="H16" s="17"/>
      <c r="I16" s="17"/>
      <c r="J16" s="17"/>
      <c r="K16" s="17"/>
      <c r="L16" s="17"/>
      <c r="M16" s="1248"/>
      <c r="N16" s="1249"/>
      <c r="O16" s="17"/>
      <c r="P16" s="17"/>
      <c r="Q16" s="1248"/>
      <c r="R16" s="1249"/>
      <c r="S16" s="122"/>
    </row>
    <row r="17" spans="2:19" ht="24" customHeight="1">
      <c r="B17" s="1281" t="s">
        <v>359</v>
      </c>
      <c r="C17" s="1282"/>
      <c r="D17" s="1283"/>
      <c r="E17" s="208"/>
      <c r="F17" s="17"/>
      <c r="G17" s="17"/>
      <c r="H17" s="17"/>
      <c r="I17" s="17"/>
      <c r="J17" s="17"/>
      <c r="K17" s="17"/>
      <c r="L17" s="17"/>
      <c r="M17" s="1248"/>
      <c r="N17" s="1249"/>
      <c r="O17" s="17"/>
      <c r="P17" s="17"/>
      <c r="Q17" s="1260"/>
      <c r="R17" s="1261"/>
      <c r="S17" s="122"/>
    </row>
    <row r="18" spans="2:19" ht="24" customHeight="1">
      <c r="B18" s="1297" t="s">
        <v>379</v>
      </c>
      <c r="C18" s="1295" t="s">
        <v>468</v>
      </c>
      <c r="D18" s="1296"/>
      <c r="E18" s="208"/>
      <c r="F18" s="17"/>
      <c r="G18" s="17"/>
      <c r="H18" s="17"/>
      <c r="I18" s="17"/>
      <c r="J18" s="17"/>
      <c r="K18" s="17"/>
      <c r="L18" s="17"/>
      <c r="M18" s="1248"/>
      <c r="N18" s="1249"/>
      <c r="O18" s="17"/>
      <c r="P18" s="17"/>
      <c r="Q18" s="1248"/>
      <c r="R18" s="1249"/>
      <c r="S18" s="122"/>
    </row>
    <row r="19" spans="2:19" ht="24" customHeight="1">
      <c r="B19" s="1295"/>
      <c r="C19" s="1287" t="s">
        <v>469</v>
      </c>
      <c r="D19" s="1289"/>
      <c r="E19" s="208"/>
      <c r="F19" s="17"/>
      <c r="G19" s="17"/>
      <c r="H19" s="17"/>
      <c r="I19" s="17"/>
      <c r="J19" s="17"/>
      <c r="K19" s="17"/>
      <c r="L19" s="17"/>
      <c r="M19" s="1248"/>
      <c r="N19" s="1249"/>
      <c r="O19" s="17"/>
      <c r="P19" s="17"/>
      <c r="Q19" s="1260"/>
      <c r="R19" s="1261"/>
      <c r="S19" s="122"/>
    </row>
    <row r="20" spans="2:19" ht="24" customHeight="1">
      <c r="B20" s="1287" t="s">
        <v>358</v>
      </c>
      <c r="C20" s="1288"/>
      <c r="D20" s="1289"/>
      <c r="E20" s="208"/>
      <c r="F20" s="17"/>
      <c r="G20" s="17"/>
      <c r="H20" s="17"/>
      <c r="I20" s="17"/>
      <c r="J20" s="17"/>
      <c r="K20" s="17"/>
      <c r="L20" s="17"/>
      <c r="M20" s="1248"/>
      <c r="N20" s="1249"/>
      <c r="O20" s="17"/>
      <c r="P20" s="17"/>
      <c r="Q20" s="1248"/>
      <c r="R20" s="1249"/>
      <c r="S20" s="122"/>
    </row>
    <row r="21" spans="2:19" ht="24" customHeight="1">
      <c r="B21" s="1284" t="s">
        <v>369</v>
      </c>
      <c r="C21" s="1285"/>
      <c r="D21" s="1286"/>
      <c r="E21" s="208"/>
      <c r="F21" s="17"/>
      <c r="G21" s="17"/>
      <c r="H21" s="17"/>
      <c r="I21" s="17"/>
      <c r="J21" s="17"/>
      <c r="K21" s="17"/>
      <c r="L21" s="17"/>
      <c r="M21" s="1248"/>
      <c r="N21" s="1249"/>
      <c r="O21" s="17"/>
      <c r="P21" s="17"/>
      <c r="Q21" s="1260"/>
      <c r="R21" s="1261"/>
      <c r="S21" s="122"/>
    </row>
    <row r="22" spans="2:19" ht="24" customHeight="1">
      <c r="B22" s="1298" t="s">
        <v>378</v>
      </c>
      <c r="C22" s="1279" t="s">
        <v>377</v>
      </c>
      <c r="D22" s="1280"/>
      <c r="E22" s="208"/>
      <c r="F22" s="17"/>
      <c r="G22" s="17"/>
      <c r="H22" s="17"/>
      <c r="I22" s="17"/>
      <c r="J22" s="17"/>
      <c r="K22" s="17"/>
      <c r="L22" s="17"/>
      <c r="M22" s="1248"/>
      <c r="N22" s="1249"/>
      <c r="O22" s="17"/>
      <c r="P22" s="17"/>
      <c r="Q22" s="1248"/>
      <c r="R22" s="1249"/>
      <c r="S22" s="122"/>
    </row>
    <row r="23" spans="2:19" ht="24" customHeight="1">
      <c r="B23" s="1299"/>
      <c r="C23" s="1285" t="s">
        <v>375</v>
      </c>
      <c r="D23" s="1286"/>
      <c r="E23" s="208"/>
      <c r="F23" s="17"/>
      <c r="G23" s="17"/>
      <c r="H23" s="17"/>
      <c r="I23" s="17"/>
      <c r="J23" s="17"/>
      <c r="K23" s="17"/>
      <c r="L23" s="17"/>
      <c r="M23" s="1248"/>
      <c r="N23" s="1249"/>
      <c r="O23" s="17"/>
      <c r="P23" s="17"/>
      <c r="Q23" s="1260"/>
      <c r="R23" s="1261"/>
      <c r="S23" s="122"/>
    </row>
    <row r="24" spans="2:19" ht="24" customHeight="1">
      <c r="B24" s="1299"/>
      <c r="C24" s="1287" t="s">
        <v>470</v>
      </c>
      <c r="D24" s="1289"/>
      <c r="E24" s="208"/>
      <c r="F24" s="17"/>
      <c r="G24" s="17"/>
      <c r="H24" s="17"/>
      <c r="I24" s="17"/>
      <c r="J24" s="17"/>
      <c r="K24" s="17"/>
      <c r="L24" s="17"/>
      <c r="M24" s="1248"/>
      <c r="N24" s="1249"/>
      <c r="O24" s="17"/>
      <c r="P24" s="17"/>
      <c r="Q24" s="1248"/>
      <c r="R24" s="1249"/>
      <c r="S24" s="122"/>
    </row>
    <row r="25" spans="2:19" ht="24" customHeight="1">
      <c r="B25" s="1299"/>
      <c r="C25" s="1285" t="s">
        <v>471</v>
      </c>
      <c r="D25" s="1286"/>
      <c r="E25" s="208"/>
      <c r="F25" s="17"/>
      <c r="G25" s="17"/>
      <c r="H25" s="17"/>
      <c r="I25" s="17"/>
      <c r="J25" s="17"/>
      <c r="K25" s="17"/>
      <c r="L25" s="17"/>
      <c r="M25" s="1248"/>
      <c r="N25" s="1249"/>
      <c r="O25" s="17"/>
      <c r="P25" s="17"/>
      <c r="Q25" s="1260"/>
      <c r="R25" s="1261"/>
      <c r="S25" s="122"/>
    </row>
    <row r="26" spans="2:19" ht="24" customHeight="1">
      <c r="B26" s="1299"/>
      <c r="C26" s="1287" t="s">
        <v>472</v>
      </c>
      <c r="D26" s="1289"/>
      <c r="E26" s="208"/>
      <c r="F26" s="17"/>
      <c r="G26" s="17"/>
      <c r="H26" s="17"/>
      <c r="I26" s="17"/>
      <c r="J26" s="17"/>
      <c r="K26" s="17"/>
      <c r="L26" s="17"/>
      <c r="M26" s="1248"/>
      <c r="N26" s="1249"/>
      <c r="O26" s="17"/>
      <c r="P26" s="17"/>
      <c r="Q26" s="1248"/>
      <c r="R26" s="1249"/>
      <c r="S26" s="122"/>
    </row>
    <row r="27" spans="2:19" ht="24" customHeight="1">
      <c r="B27" s="1299"/>
      <c r="C27" s="1285" t="s">
        <v>376</v>
      </c>
      <c r="D27" s="1286"/>
      <c r="E27" s="208"/>
      <c r="F27" s="17"/>
      <c r="G27" s="17"/>
      <c r="H27" s="17"/>
      <c r="I27" s="17"/>
      <c r="J27" s="17"/>
      <c r="K27" s="17"/>
      <c r="L27" s="17"/>
      <c r="M27" s="1248"/>
      <c r="N27" s="1249"/>
      <c r="O27" s="17"/>
      <c r="P27" s="17"/>
      <c r="Q27" s="1260"/>
      <c r="R27" s="1261"/>
      <c r="S27" s="122"/>
    </row>
    <row r="28" spans="2:19" ht="24" customHeight="1">
      <c r="B28" s="1287" t="s">
        <v>374</v>
      </c>
      <c r="C28" s="1288"/>
      <c r="D28" s="1289"/>
      <c r="E28" s="208"/>
      <c r="F28" s="17"/>
      <c r="G28" s="17"/>
      <c r="H28" s="17"/>
      <c r="I28" s="17"/>
      <c r="J28" s="17"/>
      <c r="K28" s="17"/>
      <c r="L28" s="17"/>
      <c r="M28" s="1248"/>
      <c r="N28" s="1249"/>
      <c r="O28" s="17"/>
      <c r="P28" s="17"/>
      <c r="Q28" s="1248"/>
      <c r="R28" s="1249"/>
      <c r="S28" s="122"/>
    </row>
    <row r="29" spans="2:19" ht="24" customHeight="1">
      <c r="B29" s="1287" t="s">
        <v>381</v>
      </c>
      <c r="C29" s="1288"/>
      <c r="D29" s="1289"/>
      <c r="E29" s="208"/>
      <c r="F29" s="17"/>
      <c r="G29" s="17"/>
      <c r="H29" s="17"/>
      <c r="I29" s="17"/>
      <c r="J29" s="17"/>
      <c r="K29" s="17"/>
      <c r="L29" s="17"/>
      <c r="M29" s="1248"/>
      <c r="N29" s="1249"/>
      <c r="O29" s="17"/>
      <c r="P29" s="17"/>
      <c r="Q29" s="1260"/>
      <c r="R29" s="1261"/>
      <c r="S29" s="122"/>
    </row>
    <row r="30" spans="2:19" ht="24" customHeight="1">
      <c r="B30" s="1284" t="s">
        <v>373</v>
      </c>
      <c r="C30" s="1285"/>
      <c r="D30" s="1286"/>
      <c r="E30" s="208"/>
      <c r="F30" s="17"/>
      <c r="G30" s="17"/>
      <c r="H30" s="17"/>
      <c r="I30" s="17"/>
      <c r="J30" s="17"/>
      <c r="K30" s="17"/>
      <c r="L30" s="17"/>
      <c r="M30" s="1248"/>
      <c r="N30" s="1249"/>
      <c r="O30" s="17"/>
      <c r="P30" s="17"/>
      <c r="Q30" s="1248"/>
      <c r="R30" s="1249"/>
      <c r="S30" s="122"/>
    </row>
    <row r="31" spans="2:19" ht="24" customHeight="1">
      <c r="B31" s="1279" t="s">
        <v>371</v>
      </c>
      <c r="C31" s="1303"/>
      <c r="D31" s="1280"/>
      <c r="E31" s="208"/>
      <c r="F31" s="17"/>
      <c r="G31" s="17"/>
      <c r="H31" s="17"/>
      <c r="I31" s="17"/>
      <c r="J31" s="17"/>
      <c r="K31" s="17"/>
      <c r="L31" s="17"/>
      <c r="M31" s="1248"/>
      <c r="N31" s="1249"/>
      <c r="O31" s="17"/>
      <c r="P31" s="17"/>
      <c r="Q31" s="1260"/>
      <c r="R31" s="1261"/>
      <c r="S31" s="122"/>
    </row>
    <row r="32" spans="2:19" ht="24" customHeight="1">
      <c r="B32" s="1279" t="s">
        <v>372</v>
      </c>
      <c r="C32" s="1303"/>
      <c r="D32" s="1280"/>
      <c r="E32" s="208"/>
      <c r="F32" s="17"/>
      <c r="G32" s="17"/>
      <c r="H32" s="17"/>
      <c r="I32" s="17"/>
      <c r="J32" s="17"/>
      <c r="K32" s="17"/>
      <c r="L32" s="17"/>
      <c r="M32" s="1248"/>
      <c r="N32" s="1249"/>
      <c r="O32" s="17"/>
      <c r="P32" s="17"/>
      <c r="Q32" s="1248"/>
      <c r="R32" s="1249"/>
      <c r="S32" s="122"/>
    </row>
    <row r="33" spans="2:19" ht="24" customHeight="1">
      <c r="B33" s="1300" t="s">
        <v>370</v>
      </c>
      <c r="C33" s="1301"/>
      <c r="D33" s="1302"/>
      <c r="E33" s="65"/>
      <c r="F33" s="66"/>
      <c r="G33" s="65"/>
      <c r="H33" s="66"/>
      <c r="I33" s="65"/>
      <c r="J33" s="66"/>
      <c r="K33" s="65"/>
      <c r="L33" s="66"/>
      <c r="M33" s="662"/>
      <c r="N33" s="663"/>
      <c r="O33" s="66"/>
      <c r="P33" s="65"/>
      <c r="Q33" s="663"/>
      <c r="R33" s="664"/>
      <c r="S33" s="122"/>
    </row>
    <row r="34" spans="2:19" ht="12.75">
      <c r="B34" s="1"/>
      <c r="C34" s="1"/>
      <c r="D34" s="1"/>
      <c r="R34" s="1"/>
      <c r="S34" s="1"/>
    </row>
  </sheetData>
  <sheetProtection sheet="1" objects="1" scenarios="1" formatCells="0"/>
  <mergeCells count="108">
    <mergeCell ref="B1:R1"/>
    <mergeCell ref="B3:R3"/>
    <mergeCell ref="B4:R4"/>
    <mergeCell ref="M9:N10"/>
    <mergeCell ref="P9:P10"/>
    <mergeCell ref="K8:L8"/>
    <mergeCell ref="K9:K10"/>
    <mergeCell ref="I9:I10"/>
    <mergeCell ref="K6:N6"/>
    <mergeCell ref="O7:Q7"/>
    <mergeCell ref="M33:N33"/>
    <mergeCell ref="Q33:R33"/>
    <mergeCell ref="Q9:R10"/>
    <mergeCell ref="Q29:R29"/>
    <mergeCell ref="Q30:R30"/>
    <mergeCell ref="Q31:R31"/>
    <mergeCell ref="Q32:R32"/>
    <mergeCell ref="Q25:R25"/>
    <mergeCell ref="Q11:R11"/>
    <mergeCell ref="Q26:R26"/>
    <mergeCell ref="Q28:R28"/>
    <mergeCell ref="Q21:R21"/>
    <mergeCell ref="Q22:R22"/>
    <mergeCell ref="Q23:R23"/>
    <mergeCell ref="Q24:R24"/>
    <mergeCell ref="M32:N32"/>
    <mergeCell ref="Q14:R14"/>
    <mergeCell ref="Q15:R15"/>
    <mergeCell ref="Q16:R16"/>
    <mergeCell ref="Q17:R17"/>
    <mergeCell ref="Q18:R18"/>
    <mergeCell ref="Q19:R19"/>
    <mergeCell ref="Q20:R20"/>
    <mergeCell ref="Q27:R27"/>
    <mergeCell ref="M28:N28"/>
    <mergeCell ref="M29:N29"/>
    <mergeCell ref="M30:N30"/>
    <mergeCell ref="M31:N31"/>
    <mergeCell ref="M24:N24"/>
    <mergeCell ref="M25:N25"/>
    <mergeCell ref="M26:N26"/>
    <mergeCell ref="M27:N27"/>
    <mergeCell ref="M20:N20"/>
    <mergeCell ref="M21:N21"/>
    <mergeCell ref="M22:N22"/>
    <mergeCell ref="M23:N23"/>
    <mergeCell ref="M16:N16"/>
    <mergeCell ref="M17:N17"/>
    <mergeCell ref="M18:N18"/>
    <mergeCell ref="M19:N19"/>
    <mergeCell ref="M14:N14"/>
    <mergeCell ref="B5:R5"/>
    <mergeCell ref="B33:D33"/>
    <mergeCell ref="B6:D6"/>
    <mergeCell ref="B7:D7"/>
    <mergeCell ref="B8:D8"/>
    <mergeCell ref="B30:D30"/>
    <mergeCell ref="B31:D31"/>
    <mergeCell ref="B32:D32"/>
    <mergeCell ref="M15:N15"/>
    <mergeCell ref="B28:D28"/>
    <mergeCell ref="B29:D29"/>
    <mergeCell ref="C26:D26"/>
    <mergeCell ref="C27:D27"/>
    <mergeCell ref="B22:B27"/>
    <mergeCell ref="C24:D24"/>
    <mergeCell ref="C25:D25"/>
    <mergeCell ref="C23:D23"/>
    <mergeCell ref="B20:D20"/>
    <mergeCell ref="B21:D21"/>
    <mergeCell ref="C18:D18"/>
    <mergeCell ref="C19:D19"/>
    <mergeCell ref="B18:B19"/>
    <mergeCell ref="B16:D16"/>
    <mergeCell ref="B17:D17"/>
    <mergeCell ref="G9:G10"/>
    <mergeCell ref="H9:H10"/>
    <mergeCell ref="B14:D14"/>
    <mergeCell ref="B15:D15"/>
    <mergeCell ref="B11:D11"/>
    <mergeCell ref="B12:D12"/>
    <mergeCell ref="B13:D13"/>
    <mergeCell ref="B9:C9"/>
    <mergeCell ref="Q13:R13"/>
    <mergeCell ref="M12:N12"/>
    <mergeCell ref="M13:N13"/>
    <mergeCell ref="L9:L10"/>
    <mergeCell ref="O9:O10"/>
    <mergeCell ref="M11:N11"/>
    <mergeCell ref="Q12:R12"/>
    <mergeCell ref="E9:E10"/>
    <mergeCell ref="F9:F10"/>
    <mergeCell ref="E6:F6"/>
    <mergeCell ref="E7:F7"/>
    <mergeCell ref="G6:J6"/>
    <mergeCell ref="G7:J7"/>
    <mergeCell ref="O6:R6"/>
    <mergeCell ref="P8:R8"/>
    <mergeCell ref="J9:J10"/>
    <mergeCell ref="D2:R2"/>
    <mergeCell ref="B2:C2"/>
    <mergeCell ref="C22:D22"/>
    <mergeCell ref="B10:C10"/>
    <mergeCell ref="E8:F8"/>
    <mergeCell ref="K7:M7"/>
    <mergeCell ref="M8:O8"/>
    <mergeCell ref="G8:H8"/>
    <mergeCell ref="I8:J8"/>
  </mergeCells>
  <hyperlinks>
    <hyperlink ref="B2:C2" location="業務情報!A1" tooltip="業務情報シートに移動" display="業務情報"/>
  </hyperlinks>
  <printOptions/>
  <pageMargins left="0.984251968503937" right="0.3937007874015748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6">
    <tabColor indexed="43"/>
  </sheetPr>
  <dimension ref="A1:BZ3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4" width="1.75390625" style="0" customWidth="1"/>
    <col min="5" max="11" width="2.625" style="0" customWidth="1"/>
    <col min="12" max="21" width="1.75390625" style="0" customWidth="1"/>
    <col min="22" max="34" width="1.4921875" style="0" customWidth="1"/>
    <col min="35" max="78" width="1.75390625" style="0" customWidth="1"/>
    <col min="79" max="84" width="1.625" style="0" customWidth="1"/>
  </cols>
  <sheetData>
    <row r="1" spans="70:78" s="243" customFormat="1" ht="12.75" customHeight="1">
      <c r="BR1" s="1374" t="s">
        <v>519</v>
      </c>
      <c r="BS1" s="1374"/>
      <c r="BT1" s="1374"/>
      <c r="BU1" s="1374"/>
      <c r="BV1" s="1374"/>
      <c r="BW1" s="1374"/>
      <c r="BX1" s="1374"/>
      <c r="BY1" s="1374"/>
      <c r="BZ1" s="1374"/>
    </row>
    <row r="2" spans="11:53" s="243" customFormat="1" ht="12.75" customHeight="1">
      <c r="K2" s="1385" t="s">
        <v>520</v>
      </c>
      <c r="L2" s="1385"/>
      <c r="M2" s="1385"/>
      <c r="N2" s="1385"/>
      <c r="O2" s="1385"/>
      <c r="P2" s="1385"/>
      <c r="Q2" s="1385"/>
      <c r="R2" s="1385"/>
      <c r="S2" s="1385"/>
      <c r="T2" s="1385"/>
      <c r="U2" s="1385"/>
      <c r="V2" s="1385"/>
      <c r="W2" s="1385"/>
      <c r="X2" s="1385"/>
      <c r="Y2" s="1385"/>
      <c r="Z2" s="1385"/>
      <c r="AA2" s="1385"/>
      <c r="AB2" s="1385"/>
      <c r="AC2" s="1385"/>
      <c r="AD2" s="1385"/>
      <c r="AE2" s="1385"/>
      <c r="AF2" s="1385"/>
      <c r="AG2" s="1385"/>
      <c r="AH2" s="1385"/>
      <c r="AI2" s="1385"/>
      <c r="AJ2" s="1385"/>
      <c r="AK2" s="1385"/>
      <c r="AL2" s="1385"/>
      <c r="AM2" s="1385"/>
      <c r="AN2" s="1385"/>
      <c r="AO2" s="1385"/>
      <c r="AP2" s="1385"/>
      <c r="AQ2" s="1385"/>
      <c r="AR2" s="1385"/>
      <c r="AS2" s="1385"/>
      <c r="AT2" s="1385"/>
      <c r="AU2" s="1385"/>
      <c r="AV2" s="1385"/>
      <c r="AW2" s="1385"/>
      <c r="AX2" s="1385"/>
      <c r="AY2" s="1385"/>
      <c r="AZ2" s="1385"/>
      <c r="BA2" s="1385"/>
    </row>
    <row r="3" spans="11:67" s="243" customFormat="1" ht="12.75" customHeight="1">
      <c r="K3" s="1385"/>
      <c r="L3" s="1385"/>
      <c r="M3" s="1385"/>
      <c r="N3" s="1385"/>
      <c r="O3" s="1385"/>
      <c r="P3" s="1385"/>
      <c r="Q3" s="1385"/>
      <c r="R3" s="1385"/>
      <c r="S3" s="1385"/>
      <c r="T3" s="1385"/>
      <c r="U3" s="1385"/>
      <c r="V3" s="1385"/>
      <c r="W3" s="1385"/>
      <c r="X3" s="1385"/>
      <c r="Y3" s="1385"/>
      <c r="Z3" s="1385"/>
      <c r="AA3" s="1385"/>
      <c r="AB3" s="1385"/>
      <c r="AC3" s="1385"/>
      <c r="AD3" s="1385"/>
      <c r="AE3" s="1385"/>
      <c r="AF3" s="1385"/>
      <c r="AG3" s="1385"/>
      <c r="AH3" s="1385"/>
      <c r="AI3" s="1385"/>
      <c r="AJ3" s="1385"/>
      <c r="AK3" s="1385"/>
      <c r="AL3" s="1385"/>
      <c r="AM3" s="1385"/>
      <c r="AN3" s="1385"/>
      <c r="AO3" s="1385"/>
      <c r="AP3" s="1385"/>
      <c r="AQ3" s="1385"/>
      <c r="AR3" s="1385"/>
      <c r="AS3" s="1385"/>
      <c r="AT3" s="1385"/>
      <c r="AU3" s="1385"/>
      <c r="AV3" s="1385"/>
      <c r="AW3" s="1385"/>
      <c r="AX3" s="1385"/>
      <c r="AY3" s="1385"/>
      <c r="AZ3" s="1385"/>
      <c r="BA3" s="1385"/>
      <c r="BD3" s="1387" t="s">
        <v>522</v>
      </c>
      <c r="BE3" s="1387"/>
      <c r="BF3" s="1387"/>
      <c r="BG3" s="1387"/>
      <c r="BH3" s="1387"/>
      <c r="BI3" s="1387"/>
      <c r="BJ3" s="1387"/>
      <c r="BK3" s="1387"/>
      <c r="BL3" s="1387"/>
      <c r="BM3" s="1387"/>
      <c r="BN3" s="1387"/>
      <c r="BO3" s="1387"/>
    </row>
    <row r="4" spans="11:67" s="243" customFormat="1" ht="12.75" customHeight="1">
      <c r="K4" s="1385" t="s">
        <v>521</v>
      </c>
      <c r="L4" s="1385"/>
      <c r="M4" s="1385"/>
      <c r="N4" s="1385"/>
      <c r="O4" s="1385"/>
      <c r="P4" s="1385"/>
      <c r="Q4" s="1385"/>
      <c r="R4" s="1385"/>
      <c r="S4" s="1385"/>
      <c r="T4" s="1385"/>
      <c r="U4" s="1385"/>
      <c r="V4" s="1385"/>
      <c r="W4" s="1385"/>
      <c r="X4" s="1385"/>
      <c r="Y4" s="1385"/>
      <c r="Z4" s="1385"/>
      <c r="AA4" s="1385"/>
      <c r="AB4" s="1385"/>
      <c r="AC4" s="1385"/>
      <c r="AD4" s="1385"/>
      <c r="AE4" s="1385"/>
      <c r="AF4" s="1385"/>
      <c r="AG4" s="1385"/>
      <c r="AH4" s="1385"/>
      <c r="AI4" s="1385"/>
      <c r="AJ4" s="1385"/>
      <c r="AK4" s="1385"/>
      <c r="AL4" s="1385"/>
      <c r="AM4" s="1385"/>
      <c r="AN4" s="1385"/>
      <c r="AO4" s="1385"/>
      <c r="AP4" s="1385"/>
      <c r="AQ4" s="1385"/>
      <c r="AR4" s="1385"/>
      <c r="AS4" s="1385"/>
      <c r="AT4" s="1385"/>
      <c r="AU4" s="1385"/>
      <c r="AV4" s="1385"/>
      <c r="AW4" s="1385"/>
      <c r="AX4" s="1385"/>
      <c r="AY4" s="1385"/>
      <c r="AZ4" s="1385"/>
      <c r="BA4" s="1385"/>
      <c r="BD4" s="1387"/>
      <c r="BE4" s="1387"/>
      <c r="BF4" s="1387"/>
      <c r="BG4" s="1387"/>
      <c r="BH4" s="1387"/>
      <c r="BI4" s="1387"/>
      <c r="BJ4" s="1387"/>
      <c r="BK4" s="1387"/>
      <c r="BL4" s="1387"/>
      <c r="BM4" s="1387"/>
      <c r="BN4" s="1387"/>
      <c r="BO4" s="1387"/>
    </row>
    <row r="5" spans="11:53" s="243" customFormat="1" ht="12.75" customHeight="1" thickBot="1">
      <c r="K5" s="1386"/>
      <c r="L5" s="1386"/>
      <c r="M5" s="1386"/>
      <c r="N5" s="1386"/>
      <c r="O5" s="1386"/>
      <c r="P5" s="1386"/>
      <c r="Q5" s="1386"/>
      <c r="R5" s="1386"/>
      <c r="S5" s="1386"/>
      <c r="T5" s="1386"/>
      <c r="U5" s="1386"/>
      <c r="V5" s="1386"/>
      <c r="W5" s="1386"/>
      <c r="X5" s="1386"/>
      <c r="Y5" s="1386"/>
      <c r="Z5" s="1386"/>
      <c r="AA5" s="1386"/>
      <c r="AB5" s="1386"/>
      <c r="AC5" s="1386"/>
      <c r="AD5" s="1386"/>
      <c r="AE5" s="1386"/>
      <c r="AF5" s="1386"/>
      <c r="AG5" s="1386"/>
      <c r="AH5" s="1386"/>
      <c r="AI5" s="1386"/>
      <c r="AJ5" s="1386"/>
      <c r="AK5" s="1386"/>
      <c r="AL5" s="1386"/>
      <c r="AM5" s="1386"/>
      <c r="AN5" s="1386"/>
      <c r="AO5" s="1386"/>
      <c r="AP5" s="1386"/>
      <c r="AQ5" s="1386"/>
      <c r="AR5" s="1386"/>
      <c r="AS5" s="1386"/>
      <c r="AT5" s="1386"/>
      <c r="AU5" s="1386"/>
      <c r="AV5" s="1386"/>
      <c r="AW5" s="1386"/>
      <c r="AX5" s="1386"/>
      <c r="AY5" s="1386"/>
      <c r="AZ5" s="1386"/>
      <c r="BA5" s="1386"/>
    </row>
    <row r="6" spans="1:78" s="245" customFormat="1" ht="16.5" customHeight="1">
      <c r="A6" s="1304" t="s">
        <v>523</v>
      </c>
      <c r="B6" s="1305"/>
      <c r="C6" s="1305"/>
      <c r="D6" s="1305"/>
      <c r="E6" s="1305"/>
      <c r="F6" s="1305"/>
      <c r="G6" s="1305"/>
      <c r="H6" s="1305"/>
      <c r="I6" s="1305"/>
      <c r="J6" s="1305" t="s">
        <v>524</v>
      </c>
      <c r="K6" s="1305"/>
      <c r="L6" s="1305"/>
      <c r="M6" s="1305"/>
      <c r="N6" s="1305"/>
      <c r="O6" s="1305"/>
      <c r="P6" s="1305"/>
      <c r="Q6" s="1305"/>
      <c r="R6" s="1305"/>
      <c r="S6" s="1305" t="s">
        <v>525</v>
      </c>
      <c r="T6" s="1305"/>
      <c r="U6" s="1305"/>
      <c r="V6" s="1305"/>
      <c r="W6" s="1305"/>
      <c r="X6" s="1305"/>
      <c r="Y6" s="1305"/>
      <c r="Z6" s="1305"/>
      <c r="AA6" s="1305"/>
      <c r="AB6" s="1305" t="s">
        <v>526</v>
      </c>
      <c r="AC6" s="1305"/>
      <c r="AD6" s="1305"/>
      <c r="AE6" s="1305"/>
      <c r="AF6" s="1305"/>
      <c r="AG6" s="1305"/>
      <c r="AH6" s="1305"/>
      <c r="AI6" s="1305"/>
      <c r="AJ6" s="1305"/>
      <c r="AK6" s="1305" t="s">
        <v>527</v>
      </c>
      <c r="AL6" s="1305"/>
      <c r="AM6" s="1305"/>
      <c r="AN6" s="1305"/>
      <c r="AO6" s="1305"/>
      <c r="AP6" s="1305"/>
      <c r="AQ6" s="1305"/>
      <c r="AR6" s="1305"/>
      <c r="AS6" s="1305"/>
      <c r="AT6" s="1305"/>
      <c r="AU6" s="1305"/>
      <c r="AV6" s="1305"/>
      <c r="AW6" s="1305" t="s">
        <v>528</v>
      </c>
      <c r="AX6" s="1305"/>
      <c r="AY6" s="1305"/>
      <c r="AZ6" s="1305"/>
      <c r="BA6" s="1305"/>
      <c r="BB6" s="1305"/>
      <c r="BC6" s="1305"/>
      <c r="BD6" s="1305"/>
      <c r="BE6" s="1305"/>
      <c r="BF6" s="1305"/>
      <c r="BG6" s="1305"/>
      <c r="BH6" s="1305"/>
      <c r="BI6" s="1305" t="s">
        <v>511</v>
      </c>
      <c r="BJ6" s="1305"/>
      <c r="BK6" s="1305"/>
      <c r="BL6" s="1305"/>
      <c r="BM6" s="1305"/>
      <c r="BN6" s="1305"/>
      <c r="BO6" s="1305"/>
      <c r="BP6" s="1305"/>
      <c r="BQ6" s="1305"/>
      <c r="BR6" s="1305" t="s">
        <v>529</v>
      </c>
      <c r="BS6" s="1305"/>
      <c r="BT6" s="1305"/>
      <c r="BU6" s="1305"/>
      <c r="BV6" s="1305"/>
      <c r="BW6" s="1305"/>
      <c r="BX6" s="1305"/>
      <c r="BY6" s="1305"/>
      <c r="BZ6" s="1323"/>
    </row>
    <row r="7" spans="1:78" s="244" customFormat="1" ht="16.5" customHeight="1">
      <c r="A7" s="1361" t="str">
        <f>'業務情報'!C3</f>
        <v>平成２６年度
○○測量業務</v>
      </c>
      <c r="B7" s="1312"/>
      <c r="C7" s="1312"/>
      <c r="D7" s="1312"/>
      <c r="E7" s="1312"/>
      <c r="F7" s="1312"/>
      <c r="G7" s="1312"/>
      <c r="H7" s="1312"/>
      <c r="I7" s="1313"/>
      <c r="J7" s="1363">
        <v>1</v>
      </c>
      <c r="K7" s="1364"/>
      <c r="L7" s="1364"/>
      <c r="M7" s="1364"/>
      <c r="N7" s="1364"/>
      <c r="O7" s="1364"/>
      <c r="P7" s="1364"/>
      <c r="Q7" s="1364"/>
      <c r="R7" s="1365"/>
      <c r="S7" s="1369" t="s">
        <v>640</v>
      </c>
      <c r="T7" s="1306"/>
      <c r="U7" s="1306"/>
      <c r="V7" s="1306"/>
      <c r="W7" s="1306"/>
      <c r="X7" s="1306"/>
      <c r="Y7" s="1306"/>
      <c r="Z7" s="1306"/>
      <c r="AA7" s="1370"/>
      <c r="AB7" s="1307">
        <v>37800</v>
      </c>
      <c r="AC7" s="1308"/>
      <c r="AD7" s="1308"/>
      <c r="AE7" s="1308"/>
      <c r="AF7" s="1308"/>
      <c r="AG7" s="1308"/>
      <c r="AH7" s="1308"/>
      <c r="AI7" s="1306" t="s">
        <v>622</v>
      </c>
      <c r="AJ7" s="1091"/>
      <c r="AK7" s="1311" t="str">
        <f>'業務情報'!E5</f>
        <v>自 平成26年10月10日
至 平成27年3月15日</v>
      </c>
      <c r="AL7" s="1312"/>
      <c r="AM7" s="1312"/>
      <c r="AN7" s="1312"/>
      <c r="AO7" s="1312"/>
      <c r="AP7" s="1312"/>
      <c r="AQ7" s="1312"/>
      <c r="AR7" s="1312"/>
      <c r="AS7" s="1312"/>
      <c r="AT7" s="1312"/>
      <c r="AU7" s="1312"/>
      <c r="AV7" s="1313"/>
      <c r="AW7" s="1317" t="str">
        <f>'業務情報'!E4</f>
        <v>（有）サーベイテック</v>
      </c>
      <c r="AX7" s="1318"/>
      <c r="AY7" s="1318"/>
      <c r="AZ7" s="1318"/>
      <c r="BA7" s="1318"/>
      <c r="BB7" s="1318"/>
      <c r="BC7" s="1318"/>
      <c r="BD7" s="1318"/>
      <c r="BE7" s="1318"/>
      <c r="BF7" s="1318"/>
      <c r="BG7" s="1318"/>
      <c r="BH7" s="1319"/>
      <c r="BI7" s="1317" t="str">
        <f>'業務情報'!G3</f>
        <v>兎位瑠度　逓津宇</v>
      </c>
      <c r="BJ7" s="1378"/>
      <c r="BK7" s="1378"/>
      <c r="BL7" s="1378"/>
      <c r="BM7" s="1378"/>
      <c r="BN7" s="1378"/>
      <c r="BO7" s="1378"/>
      <c r="BP7" s="1306" t="s">
        <v>125</v>
      </c>
      <c r="BQ7" s="1091"/>
      <c r="BR7" s="1317" t="str">
        <f>'業務情報'!G4</f>
        <v>曽木亜　説戸</v>
      </c>
      <c r="BS7" s="1378"/>
      <c r="BT7" s="1378"/>
      <c r="BU7" s="1378"/>
      <c r="BV7" s="1378"/>
      <c r="BW7" s="1378"/>
      <c r="BX7" s="1378"/>
      <c r="BY7" s="1306" t="s">
        <v>125</v>
      </c>
      <c r="BZ7" s="1376"/>
    </row>
    <row r="8" spans="1:78" s="244" customFormat="1" ht="16.5" customHeight="1">
      <c r="A8" s="1362"/>
      <c r="B8" s="1315"/>
      <c r="C8" s="1315"/>
      <c r="D8" s="1315"/>
      <c r="E8" s="1315"/>
      <c r="F8" s="1315"/>
      <c r="G8" s="1315"/>
      <c r="H8" s="1315"/>
      <c r="I8" s="1316"/>
      <c r="J8" s="1366"/>
      <c r="K8" s="1367"/>
      <c r="L8" s="1367"/>
      <c r="M8" s="1367"/>
      <c r="N8" s="1367"/>
      <c r="O8" s="1367"/>
      <c r="P8" s="1367"/>
      <c r="Q8" s="1367"/>
      <c r="R8" s="1368"/>
      <c r="S8" s="1371"/>
      <c r="T8" s="1372"/>
      <c r="U8" s="1372"/>
      <c r="V8" s="1372"/>
      <c r="W8" s="1372"/>
      <c r="X8" s="1372"/>
      <c r="Y8" s="1372"/>
      <c r="Z8" s="1372"/>
      <c r="AA8" s="1373"/>
      <c r="AB8" s="1309"/>
      <c r="AC8" s="1310"/>
      <c r="AD8" s="1310"/>
      <c r="AE8" s="1310"/>
      <c r="AF8" s="1310"/>
      <c r="AG8" s="1310"/>
      <c r="AH8" s="1310"/>
      <c r="AI8" s="1051"/>
      <c r="AJ8" s="1052"/>
      <c r="AK8" s="1314"/>
      <c r="AL8" s="1315"/>
      <c r="AM8" s="1315"/>
      <c r="AN8" s="1315"/>
      <c r="AO8" s="1315"/>
      <c r="AP8" s="1315"/>
      <c r="AQ8" s="1315"/>
      <c r="AR8" s="1315"/>
      <c r="AS8" s="1315"/>
      <c r="AT8" s="1315"/>
      <c r="AU8" s="1315"/>
      <c r="AV8" s="1316"/>
      <c r="AW8" s="1320"/>
      <c r="AX8" s="1321"/>
      <c r="AY8" s="1321"/>
      <c r="AZ8" s="1321"/>
      <c r="BA8" s="1321"/>
      <c r="BB8" s="1321"/>
      <c r="BC8" s="1321"/>
      <c r="BD8" s="1321"/>
      <c r="BE8" s="1321"/>
      <c r="BF8" s="1321"/>
      <c r="BG8" s="1321"/>
      <c r="BH8" s="1322"/>
      <c r="BI8" s="1379"/>
      <c r="BJ8" s="1380"/>
      <c r="BK8" s="1380"/>
      <c r="BL8" s="1380"/>
      <c r="BM8" s="1380"/>
      <c r="BN8" s="1380"/>
      <c r="BO8" s="1380"/>
      <c r="BP8" s="1051"/>
      <c r="BQ8" s="1052"/>
      <c r="BR8" s="1379"/>
      <c r="BS8" s="1380"/>
      <c r="BT8" s="1380"/>
      <c r="BU8" s="1380"/>
      <c r="BV8" s="1380"/>
      <c r="BW8" s="1380"/>
      <c r="BX8" s="1380"/>
      <c r="BY8" s="1051"/>
      <c r="BZ8" s="1377"/>
    </row>
    <row r="9" spans="1:78" s="244" customFormat="1" ht="16.5" customHeight="1">
      <c r="A9" s="1324" t="s">
        <v>530</v>
      </c>
      <c r="B9" s="1325"/>
      <c r="C9" s="1325"/>
      <c r="D9" s="1325"/>
      <c r="E9" s="1325"/>
      <c r="F9" s="1325"/>
      <c r="G9" s="1325"/>
      <c r="H9" s="1325"/>
      <c r="I9" s="1325"/>
      <c r="J9" s="1325"/>
      <c r="K9" s="1325"/>
      <c r="L9" s="1325" t="s">
        <v>82</v>
      </c>
      <c r="M9" s="1325"/>
      <c r="N9" s="1325"/>
      <c r="O9" s="1325" t="s">
        <v>81</v>
      </c>
      <c r="P9" s="1325"/>
      <c r="Q9" s="1326"/>
      <c r="R9" s="1327" t="s">
        <v>531</v>
      </c>
      <c r="S9" s="1325"/>
      <c r="T9" s="1325"/>
      <c r="U9" s="1325"/>
      <c r="V9" s="1325"/>
      <c r="W9" s="1325"/>
      <c r="X9" s="1325"/>
      <c r="Y9" s="1325"/>
      <c r="Z9" s="1325"/>
      <c r="AA9" s="1325"/>
      <c r="AB9" s="1325"/>
      <c r="AC9" s="1325"/>
      <c r="AD9" s="1325"/>
      <c r="AE9" s="1325"/>
      <c r="AF9" s="1325"/>
      <c r="AG9" s="1325"/>
      <c r="AH9" s="1325"/>
      <c r="AI9" s="1325" t="s">
        <v>82</v>
      </c>
      <c r="AJ9" s="1325"/>
      <c r="AK9" s="1325"/>
      <c r="AL9" s="1325" t="s">
        <v>81</v>
      </c>
      <c r="AM9" s="1325"/>
      <c r="AN9" s="1326"/>
      <c r="AO9" s="1327" t="s">
        <v>531</v>
      </c>
      <c r="AP9" s="1325"/>
      <c r="AQ9" s="1325"/>
      <c r="AR9" s="1325"/>
      <c r="AS9" s="1325"/>
      <c r="AT9" s="1325"/>
      <c r="AU9" s="1325"/>
      <c r="AV9" s="1325"/>
      <c r="AW9" s="1325"/>
      <c r="AX9" s="1325"/>
      <c r="AY9" s="1325"/>
      <c r="AZ9" s="1325"/>
      <c r="BA9" s="1325"/>
      <c r="BB9" s="1325"/>
      <c r="BC9" s="1325"/>
      <c r="BD9" s="1325" t="s">
        <v>82</v>
      </c>
      <c r="BE9" s="1325"/>
      <c r="BF9" s="1325"/>
      <c r="BG9" s="1325" t="s">
        <v>81</v>
      </c>
      <c r="BH9" s="1325"/>
      <c r="BI9" s="1326"/>
      <c r="BJ9" s="1327" t="s">
        <v>531</v>
      </c>
      <c r="BK9" s="1325"/>
      <c r="BL9" s="1325"/>
      <c r="BM9" s="1325"/>
      <c r="BN9" s="1325"/>
      <c r="BO9" s="1325"/>
      <c r="BP9" s="1325"/>
      <c r="BQ9" s="1325"/>
      <c r="BR9" s="1325"/>
      <c r="BS9" s="1325"/>
      <c r="BT9" s="1325"/>
      <c r="BU9" s="1325" t="s">
        <v>82</v>
      </c>
      <c r="BV9" s="1325"/>
      <c r="BW9" s="1325"/>
      <c r="BX9" s="1325" t="s">
        <v>81</v>
      </c>
      <c r="BY9" s="1325"/>
      <c r="BZ9" s="1328"/>
    </row>
    <row r="10" spans="1:78" s="244" customFormat="1" ht="16.5" customHeight="1">
      <c r="A10" s="1329" t="s">
        <v>532</v>
      </c>
      <c r="B10" s="1330"/>
      <c r="C10" s="1330"/>
      <c r="D10" s="1330"/>
      <c r="E10" s="1333" t="s">
        <v>540</v>
      </c>
      <c r="F10" s="1333"/>
      <c r="G10" s="1333"/>
      <c r="H10" s="1333"/>
      <c r="I10" s="1333"/>
      <c r="J10" s="1333"/>
      <c r="K10" s="1333"/>
      <c r="L10" s="1338">
        <v>0</v>
      </c>
      <c r="M10" s="1339"/>
      <c r="N10" s="1339"/>
      <c r="O10" s="1338">
        <v>0</v>
      </c>
      <c r="P10" s="1339"/>
      <c r="Q10" s="1340"/>
      <c r="R10" s="1327" t="s">
        <v>539</v>
      </c>
      <c r="S10" s="1325"/>
      <c r="T10" s="1325"/>
      <c r="U10" s="1325"/>
      <c r="V10" s="1325"/>
      <c r="W10" s="1343" t="s">
        <v>620</v>
      </c>
      <c r="X10" s="1343"/>
      <c r="Y10" s="1343"/>
      <c r="Z10" s="1343"/>
      <c r="AA10" s="1343"/>
      <c r="AB10" s="1343"/>
      <c r="AC10" s="1343"/>
      <c r="AD10" s="1343"/>
      <c r="AE10" s="1343"/>
      <c r="AF10" s="1343"/>
      <c r="AG10" s="1343"/>
      <c r="AH10" s="1343"/>
      <c r="AI10" s="1339">
        <v>0</v>
      </c>
      <c r="AJ10" s="1339"/>
      <c r="AK10" s="1339"/>
      <c r="AL10" s="1339">
        <v>0</v>
      </c>
      <c r="AM10" s="1339"/>
      <c r="AN10" s="1340"/>
      <c r="AO10" s="1342" t="s">
        <v>557</v>
      </c>
      <c r="AP10" s="1330"/>
      <c r="AQ10" s="1330"/>
      <c r="AR10" s="1330"/>
      <c r="AS10" s="1333" t="s">
        <v>563</v>
      </c>
      <c r="AT10" s="1333"/>
      <c r="AU10" s="1333"/>
      <c r="AV10" s="1333"/>
      <c r="AW10" s="1333"/>
      <c r="AX10" s="1333"/>
      <c r="AY10" s="1333"/>
      <c r="AZ10" s="1333"/>
      <c r="BA10" s="1333"/>
      <c r="BB10" s="1333"/>
      <c r="BC10" s="1333"/>
      <c r="BD10" s="1339">
        <v>0</v>
      </c>
      <c r="BE10" s="1339"/>
      <c r="BF10" s="1339"/>
      <c r="BG10" s="1339">
        <v>0</v>
      </c>
      <c r="BH10" s="1339"/>
      <c r="BI10" s="1340"/>
      <c r="BJ10" s="1342" t="s">
        <v>578</v>
      </c>
      <c r="BK10" s="1330"/>
      <c r="BL10" s="1333" t="s">
        <v>524</v>
      </c>
      <c r="BM10" s="1333"/>
      <c r="BN10" s="1333"/>
      <c r="BO10" s="1333"/>
      <c r="BP10" s="1333"/>
      <c r="BQ10" s="1333"/>
      <c r="BR10" s="1333"/>
      <c r="BS10" s="1333"/>
      <c r="BT10" s="1333"/>
      <c r="BU10" s="1339">
        <v>0</v>
      </c>
      <c r="BV10" s="1339"/>
      <c r="BW10" s="1339"/>
      <c r="BX10" s="1339">
        <v>0</v>
      </c>
      <c r="BY10" s="1339"/>
      <c r="BZ10" s="1355"/>
    </row>
    <row r="11" spans="1:78" s="244" customFormat="1" ht="16.5" customHeight="1">
      <c r="A11" s="1329"/>
      <c r="B11" s="1330"/>
      <c r="C11" s="1330"/>
      <c r="D11" s="1330"/>
      <c r="E11" s="1333" t="s">
        <v>541</v>
      </c>
      <c r="F11" s="1333"/>
      <c r="G11" s="1333"/>
      <c r="H11" s="1333"/>
      <c r="I11" s="1333"/>
      <c r="J11" s="1333"/>
      <c r="K11" s="1333"/>
      <c r="L11" s="1338" t="s">
        <v>624</v>
      </c>
      <c r="M11" s="1339"/>
      <c r="N11" s="1339"/>
      <c r="O11" s="1338" t="s">
        <v>624</v>
      </c>
      <c r="P11" s="1339"/>
      <c r="Q11" s="1340"/>
      <c r="R11" s="1342" t="s">
        <v>546</v>
      </c>
      <c r="S11" s="1330"/>
      <c r="T11" s="1330"/>
      <c r="U11" s="1330"/>
      <c r="V11" s="1333" t="s">
        <v>602</v>
      </c>
      <c r="W11" s="1333"/>
      <c r="X11" s="1333"/>
      <c r="Y11" s="1333"/>
      <c r="Z11" s="1333"/>
      <c r="AA11" s="1333"/>
      <c r="AB11" s="1333"/>
      <c r="AC11" s="1333"/>
      <c r="AD11" s="1333"/>
      <c r="AE11" s="1333"/>
      <c r="AF11" s="1333"/>
      <c r="AG11" s="1333"/>
      <c r="AH11" s="1333"/>
      <c r="AI11" s="1339">
        <v>0</v>
      </c>
      <c r="AJ11" s="1339"/>
      <c r="AK11" s="1339"/>
      <c r="AL11" s="1339">
        <v>0</v>
      </c>
      <c r="AM11" s="1339"/>
      <c r="AN11" s="1340"/>
      <c r="AO11" s="1342"/>
      <c r="AP11" s="1330"/>
      <c r="AQ11" s="1330"/>
      <c r="AR11" s="1330"/>
      <c r="AS11" s="1333" t="s">
        <v>564</v>
      </c>
      <c r="AT11" s="1333"/>
      <c r="AU11" s="1333"/>
      <c r="AV11" s="1333"/>
      <c r="AW11" s="1333"/>
      <c r="AX11" s="1333"/>
      <c r="AY11" s="1333"/>
      <c r="AZ11" s="1333"/>
      <c r="BA11" s="1333"/>
      <c r="BB11" s="1333"/>
      <c r="BC11" s="1333"/>
      <c r="BD11" s="1339">
        <v>0</v>
      </c>
      <c r="BE11" s="1339"/>
      <c r="BF11" s="1339"/>
      <c r="BG11" s="1339">
        <v>0</v>
      </c>
      <c r="BH11" s="1339"/>
      <c r="BI11" s="1340"/>
      <c r="BJ11" s="1342"/>
      <c r="BK11" s="1330"/>
      <c r="BL11" s="1333" t="s">
        <v>580</v>
      </c>
      <c r="BM11" s="1333"/>
      <c r="BN11" s="1333"/>
      <c r="BO11" s="1333"/>
      <c r="BP11" s="1333"/>
      <c r="BQ11" s="1333"/>
      <c r="BR11" s="1333"/>
      <c r="BS11" s="1333"/>
      <c r="BT11" s="1333"/>
      <c r="BU11" s="1339">
        <v>0</v>
      </c>
      <c r="BV11" s="1339"/>
      <c r="BW11" s="1339"/>
      <c r="BX11" s="1339">
        <v>0</v>
      </c>
      <c r="BY11" s="1339"/>
      <c r="BZ11" s="1355"/>
    </row>
    <row r="12" spans="1:78" s="244" customFormat="1" ht="16.5" customHeight="1">
      <c r="A12" s="1329" t="s">
        <v>533</v>
      </c>
      <c r="B12" s="1330"/>
      <c r="C12" s="1330"/>
      <c r="D12" s="1330"/>
      <c r="E12" s="1333" t="s">
        <v>542</v>
      </c>
      <c r="F12" s="1333"/>
      <c r="G12" s="1333"/>
      <c r="H12" s="1333"/>
      <c r="I12" s="1333"/>
      <c r="J12" s="1333"/>
      <c r="K12" s="1333"/>
      <c r="L12" s="1339">
        <v>0</v>
      </c>
      <c r="M12" s="1339"/>
      <c r="N12" s="1339"/>
      <c r="O12" s="1339">
        <v>0</v>
      </c>
      <c r="P12" s="1339"/>
      <c r="Q12" s="1340"/>
      <c r="R12" s="1342"/>
      <c r="S12" s="1330"/>
      <c r="T12" s="1330"/>
      <c r="U12" s="1330"/>
      <c r="V12" s="1333" t="s">
        <v>601</v>
      </c>
      <c r="W12" s="1333"/>
      <c r="X12" s="1333"/>
      <c r="Y12" s="1333"/>
      <c r="Z12" s="1333"/>
      <c r="AA12" s="1333"/>
      <c r="AB12" s="1333"/>
      <c r="AC12" s="1333"/>
      <c r="AD12" s="1333"/>
      <c r="AE12" s="1333"/>
      <c r="AF12" s="1333"/>
      <c r="AG12" s="1333"/>
      <c r="AH12" s="1333"/>
      <c r="AI12" s="1339">
        <v>0</v>
      </c>
      <c r="AJ12" s="1339"/>
      <c r="AK12" s="1339"/>
      <c r="AL12" s="1339">
        <v>0</v>
      </c>
      <c r="AM12" s="1339"/>
      <c r="AN12" s="1340"/>
      <c r="AO12" s="1342" t="s">
        <v>558</v>
      </c>
      <c r="AP12" s="1330"/>
      <c r="AQ12" s="1330"/>
      <c r="AR12" s="1330"/>
      <c r="AS12" s="1333" t="s">
        <v>564</v>
      </c>
      <c r="AT12" s="1333"/>
      <c r="AU12" s="1333"/>
      <c r="AV12" s="1333"/>
      <c r="AW12" s="1333"/>
      <c r="AX12" s="1333"/>
      <c r="AY12" s="1333"/>
      <c r="AZ12" s="1333"/>
      <c r="BA12" s="1333"/>
      <c r="BB12" s="1333"/>
      <c r="BC12" s="1333"/>
      <c r="BD12" s="1339">
        <v>0</v>
      </c>
      <c r="BE12" s="1339"/>
      <c r="BF12" s="1339"/>
      <c r="BG12" s="1339">
        <v>0</v>
      </c>
      <c r="BH12" s="1339"/>
      <c r="BI12" s="1340"/>
      <c r="BJ12" s="1342"/>
      <c r="BK12" s="1330"/>
      <c r="BL12" s="1333" t="s">
        <v>581</v>
      </c>
      <c r="BM12" s="1333"/>
      <c r="BN12" s="1333"/>
      <c r="BO12" s="1333"/>
      <c r="BP12" s="1333"/>
      <c r="BQ12" s="1333"/>
      <c r="BR12" s="1333"/>
      <c r="BS12" s="1333"/>
      <c r="BT12" s="1333"/>
      <c r="BU12" s="1339">
        <v>0</v>
      </c>
      <c r="BV12" s="1339"/>
      <c r="BW12" s="1339"/>
      <c r="BX12" s="1339">
        <v>0</v>
      </c>
      <c r="BY12" s="1339"/>
      <c r="BZ12" s="1355"/>
    </row>
    <row r="13" spans="1:78" s="244" customFormat="1" ht="16.5" customHeight="1">
      <c r="A13" s="1329"/>
      <c r="B13" s="1330"/>
      <c r="C13" s="1330"/>
      <c r="D13" s="1330"/>
      <c r="E13" s="1333" t="s">
        <v>541</v>
      </c>
      <c r="F13" s="1333"/>
      <c r="G13" s="1333"/>
      <c r="H13" s="1333"/>
      <c r="I13" s="1333"/>
      <c r="J13" s="1333"/>
      <c r="K13" s="1333"/>
      <c r="L13" s="1339">
        <v>0</v>
      </c>
      <c r="M13" s="1339"/>
      <c r="N13" s="1339"/>
      <c r="O13" s="1339">
        <v>0</v>
      </c>
      <c r="P13" s="1339"/>
      <c r="Q13" s="1340"/>
      <c r="R13" s="1342"/>
      <c r="S13" s="1330"/>
      <c r="T13" s="1330"/>
      <c r="U13" s="1330"/>
      <c r="V13" s="1333" t="s">
        <v>603</v>
      </c>
      <c r="W13" s="1333"/>
      <c r="X13" s="1333"/>
      <c r="Y13" s="1333"/>
      <c r="Z13" s="1333"/>
      <c r="AA13" s="1333"/>
      <c r="AB13" s="1333"/>
      <c r="AC13" s="1333"/>
      <c r="AD13" s="1333"/>
      <c r="AE13" s="1333"/>
      <c r="AF13" s="1333"/>
      <c r="AG13" s="1333"/>
      <c r="AH13" s="1333"/>
      <c r="AI13" s="1338" t="s">
        <v>624</v>
      </c>
      <c r="AJ13" s="1339"/>
      <c r="AK13" s="1339"/>
      <c r="AL13" s="1338" t="s">
        <v>624</v>
      </c>
      <c r="AM13" s="1339"/>
      <c r="AN13" s="1340"/>
      <c r="AO13" s="1342"/>
      <c r="AP13" s="1330"/>
      <c r="AQ13" s="1330"/>
      <c r="AR13" s="1330"/>
      <c r="AS13" s="1333" t="s">
        <v>567</v>
      </c>
      <c r="AT13" s="1333"/>
      <c r="AU13" s="1333"/>
      <c r="AV13" s="1333"/>
      <c r="AW13" s="1333"/>
      <c r="AX13" s="1333"/>
      <c r="AY13" s="1333"/>
      <c r="AZ13" s="1333"/>
      <c r="BA13" s="1333"/>
      <c r="BB13" s="1333"/>
      <c r="BC13" s="1333"/>
      <c r="BD13" s="1339">
        <v>0</v>
      </c>
      <c r="BE13" s="1339"/>
      <c r="BF13" s="1339"/>
      <c r="BG13" s="1339">
        <v>0</v>
      </c>
      <c r="BH13" s="1339"/>
      <c r="BI13" s="1340"/>
      <c r="BJ13" s="1342"/>
      <c r="BK13" s="1330"/>
      <c r="BL13" s="1333" t="s">
        <v>582</v>
      </c>
      <c r="BM13" s="1333"/>
      <c r="BN13" s="1333"/>
      <c r="BO13" s="1333"/>
      <c r="BP13" s="1333"/>
      <c r="BQ13" s="1333"/>
      <c r="BR13" s="1333"/>
      <c r="BS13" s="1333"/>
      <c r="BT13" s="1333"/>
      <c r="BU13" s="1338" t="s">
        <v>624</v>
      </c>
      <c r="BV13" s="1339"/>
      <c r="BW13" s="1339"/>
      <c r="BX13" s="1338" t="s">
        <v>624</v>
      </c>
      <c r="BY13" s="1339"/>
      <c r="BZ13" s="1355"/>
    </row>
    <row r="14" spans="1:78" s="244" customFormat="1" ht="16.5" customHeight="1">
      <c r="A14" s="1329" t="s">
        <v>534</v>
      </c>
      <c r="B14" s="1330"/>
      <c r="C14" s="1330"/>
      <c r="D14" s="1330"/>
      <c r="E14" s="1333" t="s">
        <v>592</v>
      </c>
      <c r="F14" s="1333"/>
      <c r="G14" s="1333"/>
      <c r="H14" s="1333"/>
      <c r="I14" s="1333"/>
      <c r="J14" s="1333"/>
      <c r="K14" s="1333"/>
      <c r="L14" s="1339">
        <v>0</v>
      </c>
      <c r="M14" s="1339"/>
      <c r="N14" s="1339"/>
      <c r="O14" s="1339">
        <v>0</v>
      </c>
      <c r="P14" s="1339"/>
      <c r="Q14" s="1340"/>
      <c r="R14" s="1342"/>
      <c r="S14" s="1330"/>
      <c r="T14" s="1330"/>
      <c r="U14" s="1330"/>
      <c r="V14" s="1333" t="s">
        <v>604</v>
      </c>
      <c r="W14" s="1333"/>
      <c r="X14" s="1333"/>
      <c r="Y14" s="1333"/>
      <c r="Z14" s="1333"/>
      <c r="AA14" s="1333"/>
      <c r="AB14" s="1333"/>
      <c r="AC14" s="1333"/>
      <c r="AD14" s="1333"/>
      <c r="AE14" s="1333"/>
      <c r="AF14" s="1333"/>
      <c r="AG14" s="1333"/>
      <c r="AH14" s="1333"/>
      <c r="AI14" s="1338" t="s">
        <v>624</v>
      </c>
      <c r="AJ14" s="1339"/>
      <c r="AK14" s="1339"/>
      <c r="AL14" s="1338" t="s">
        <v>624</v>
      </c>
      <c r="AM14" s="1339"/>
      <c r="AN14" s="1340"/>
      <c r="AO14" s="1342" t="s">
        <v>559</v>
      </c>
      <c r="AP14" s="1330"/>
      <c r="AQ14" s="1330"/>
      <c r="AR14" s="1330"/>
      <c r="AS14" s="1333" t="s">
        <v>565</v>
      </c>
      <c r="AT14" s="1333"/>
      <c r="AU14" s="1333"/>
      <c r="AV14" s="1333"/>
      <c r="AW14" s="1333"/>
      <c r="AX14" s="1333"/>
      <c r="AY14" s="1333"/>
      <c r="AZ14" s="1333"/>
      <c r="BA14" s="1333"/>
      <c r="BB14" s="1333"/>
      <c r="BC14" s="1333"/>
      <c r="BD14" s="1339">
        <v>0</v>
      </c>
      <c r="BE14" s="1339"/>
      <c r="BF14" s="1339"/>
      <c r="BG14" s="1339">
        <v>0</v>
      </c>
      <c r="BH14" s="1339"/>
      <c r="BI14" s="1340"/>
      <c r="BJ14" s="1342"/>
      <c r="BK14" s="1330"/>
      <c r="BL14" s="1333" t="s">
        <v>583</v>
      </c>
      <c r="BM14" s="1333"/>
      <c r="BN14" s="1333"/>
      <c r="BO14" s="1333"/>
      <c r="BP14" s="1333"/>
      <c r="BQ14" s="1333"/>
      <c r="BR14" s="1333"/>
      <c r="BS14" s="1333"/>
      <c r="BT14" s="1333"/>
      <c r="BU14" s="1339">
        <v>0</v>
      </c>
      <c r="BV14" s="1339"/>
      <c r="BW14" s="1339"/>
      <c r="BX14" s="1339">
        <v>0</v>
      </c>
      <c r="BY14" s="1339"/>
      <c r="BZ14" s="1355"/>
    </row>
    <row r="15" spans="1:78" s="244" customFormat="1" ht="16.5" customHeight="1">
      <c r="A15" s="1329"/>
      <c r="B15" s="1330"/>
      <c r="C15" s="1330"/>
      <c r="D15" s="1330"/>
      <c r="E15" s="1333" t="s">
        <v>593</v>
      </c>
      <c r="F15" s="1333"/>
      <c r="G15" s="1333"/>
      <c r="H15" s="1333"/>
      <c r="I15" s="1333"/>
      <c r="J15" s="1333"/>
      <c r="K15" s="1333"/>
      <c r="L15" s="1338" t="s">
        <v>624</v>
      </c>
      <c r="M15" s="1339"/>
      <c r="N15" s="1339"/>
      <c r="O15" s="1338" t="s">
        <v>624</v>
      </c>
      <c r="P15" s="1339"/>
      <c r="Q15" s="1340"/>
      <c r="R15" s="1342"/>
      <c r="S15" s="1330"/>
      <c r="T15" s="1330"/>
      <c r="U15" s="1330"/>
      <c r="V15" s="1333" t="s">
        <v>605</v>
      </c>
      <c r="W15" s="1333"/>
      <c r="X15" s="1333"/>
      <c r="Y15" s="1333"/>
      <c r="Z15" s="1333"/>
      <c r="AA15" s="1333"/>
      <c r="AB15" s="1333"/>
      <c r="AC15" s="1333"/>
      <c r="AD15" s="1333"/>
      <c r="AE15" s="1333"/>
      <c r="AF15" s="1333"/>
      <c r="AG15" s="1333"/>
      <c r="AH15" s="1333"/>
      <c r="AI15" s="1338" t="s">
        <v>624</v>
      </c>
      <c r="AJ15" s="1339"/>
      <c r="AK15" s="1339"/>
      <c r="AL15" s="1338" t="s">
        <v>624</v>
      </c>
      <c r="AM15" s="1339"/>
      <c r="AN15" s="1340"/>
      <c r="AO15" s="1342"/>
      <c r="AP15" s="1330"/>
      <c r="AQ15" s="1330"/>
      <c r="AR15" s="1330"/>
      <c r="AS15" s="1344" t="s">
        <v>566</v>
      </c>
      <c r="AT15" s="1345"/>
      <c r="AU15" s="1345"/>
      <c r="AV15" s="1345"/>
      <c r="AW15" s="1345"/>
      <c r="AX15" s="1345"/>
      <c r="AY15" s="1345"/>
      <c r="AZ15" s="1345"/>
      <c r="BA15" s="1345"/>
      <c r="BB15" s="1345"/>
      <c r="BC15" s="1346"/>
      <c r="BD15" s="1339">
        <v>0</v>
      </c>
      <c r="BE15" s="1339"/>
      <c r="BF15" s="1339"/>
      <c r="BG15" s="1339">
        <v>0</v>
      </c>
      <c r="BH15" s="1339"/>
      <c r="BI15" s="1340"/>
      <c r="BJ15" s="1342"/>
      <c r="BK15" s="1330"/>
      <c r="BL15" s="1333" t="s">
        <v>584</v>
      </c>
      <c r="BM15" s="1333"/>
      <c r="BN15" s="1333"/>
      <c r="BO15" s="1333"/>
      <c r="BP15" s="1333"/>
      <c r="BQ15" s="1333"/>
      <c r="BR15" s="1333"/>
      <c r="BS15" s="1333"/>
      <c r="BT15" s="1333"/>
      <c r="BU15" s="1338" t="s">
        <v>624</v>
      </c>
      <c r="BV15" s="1339"/>
      <c r="BW15" s="1339"/>
      <c r="BX15" s="1338" t="s">
        <v>624</v>
      </c>
      <c r="BY15" s="1339"/>
      <c r="BZ15" s="1355"/>
    </row>
    <row r="16" spans="1:78" s="244" customFormat="1" ht="16.5" customHeight="1">
      <c r="A16" s="1329"/>
      <c r="B16" s="1330"/>
      <c r="C16" s="1330"/>
      <c r="D16" s="1330"/>
      <c r="E16" s="1333" t="s">
        <v>594</v>
      </c>
      <c r="F16" s="1333"/>
      <c r="G16" s="1333"/>
      <c r="H16" s="1333"/>
      <c r="I16" s="1333"/>
      <c r="J16" s="1333"/>
      <c r="K16" s="1333"/>
      <c r="L16" s="1339">
        <v>0</v>
      </c>
      <c r="M16" s="1339"/>
      <c r="N16" s="1339"/>
      <c r="O16" s="1339">
        <v>0</v>
      </c>
      <c r="P16" s="1339"/>
      <c r="Q16" s="1340"/>
      <c r="R16" s="1342"/>
      <c r="S16" s="1330"/>
      <c r="T16" s="1330"/>
      <c r="U16" s="1330"/>
      <c r="V16" s="1333" t="s">
        <v>606</v>
      </c>
      <c r="W16" s="1333"/>
      <c r="X16" s="1333"/>
      <c r="Y16" s="1333"/>
      <c r="Z16" s="1333"/>
      <c r="AA16" s="1333"/>
      <c r="AB16" s="1333"/>
      <c r="AC16" s="1333"/>
      <c r="AD16" s="1333"/>
      <c r="AE16" s="1333"/>
      <c r="AF16" s="1333"/>
      <c r="AG16" s="1333"/>
      <c r="AH16" s="1333"/>
      <c r="AI16" s="1338" t="s">
        <v>624</v>
      </c>
      <c r="AJ16" s="1339"/>
      <c r="AK16" s="1339"/>
      <c r="AL16" s="1338" t="s">
        <v>624</v>
      </c>
      <c r="AM16" s="1339"/>
      <c r="AN16" s="1340"/>
      <c r="AO16" s="1342" t="s">
        <v>560</v>
      </c>
      <c r="AP16" s="1330"/>
      <c r="AQ16" s="1330"/>
      <c r="AR16" s="1330"/>
      <c r="AS16" s="1333" t="s">
        <v>548</v>
      </c>
      <c r="AT16" s="1333"/>
      <c r="AU16" s="1333"/>
      <c r="AV16" s="1333"/>
      <c r="AW16" s="1333"/>
      <c r="AX16" s="1333"/>
      <c r="AY16" s="1333"/>
      <c r="AZ16" s="1333"/>
      <c r="BA16" s="1333"/>
      <c r="BB16" s="1333"/>
      <c r="BC16" s="1333"/>
      <c r="BD16" s="1338" t="s">
        <v>624</v>
      </c>
      <c r="BE16" s="1339"/>
      <c r="BF16" s="1339"/>
      <c r="BG16" s="1338" t="s">
        <v>624</v>
      </c>
      <c r="BH16" s="1339"/>
      <c r="BI16" s="1340"/>
      <c r="BJ16" s="1342"/>
      <c r="BK16" s="1330"/>
      <c r="BL16" s="1333" t="s">
        <v>585</v>
      </c>
      <c r="BM16" s="1333"/>
      <c r="BN16" s="1333"/>
      <c r="BO16" s="1333"/>
      <c r="BP16" s="1333"/>
      <c r="BQ16" s="1333"/>
      <c r="BR16" s="1333"/>
      <c r="BS16" s="1333"/>
      <c r="BT16" s="1333"/>
      <c r="BU16" s="1338" t="s">
        <v>624</v>
      </c>
      <c r="BV16" s="1339"/>
      <c r="BW16" s="1339"/>
      <c r="BX16" s="1338" t="s">
        <v>624</v>
      </c>
      <c r="BY16" s="1339"/>
      <c r="BZ16" s="1355"/>
    </row>
    <row r="17" spans="1:78" s="244" customFormat="1" ht="16.5" customHeight="1">
      <c r="A17" s="1329"/>
      <c r="B17" s="1330"/>
      <c r="C17" s="1330"/>
      <c r="D17" s="1330"/>
      <c r="E17" s="1333" t="s">
        <v>595</v>
      </c>
      <c r="F17" s="1333"/>
      <c r="G17" s="1333"/>
      <c r="H17" s="1333"/>
      <c r="I17" s="1333"/>
      <c r="J17" s="1333"/>
      <c r="K17" s="1333"/>
      <c r="L17" s="1339">
        <v>0</v>
      </c>
      <c r="M17" s="1339"/>
      <c r="N17" s="1339"/>
      <c r="O17" s="1339">
        <v>0</v>
      </c>
      <c r="P17" s="1339"/>
      <c r="Q17" s="1340"/>
      <c r="R17" s="1342"/>
      <c r="S17" s="1330"/>
      <c r="T17" s="1330"/>
      <c r="U17" s="1330"/>
      <c r="V17" s="1333" t="s">
        <v>607</v>
      </c>
      <c r="W17" s="1333"/>
      <c r="X17" s="1333"/>
      <c r="Y17" s="1333"/>
      <c r="Z17" s="1333"/>
      <c r="AA17" s="1333"/>
      <c r="AB17" s="1333"/>
      <c r="AC17" s="1333"/>
      <c r="AD17" s="1333"/>
      <c r="AE17" s="1333"/>
      <c r="AF17" s="1333"/>
      <c r="AG17" s="1333"/>
      <c r="AH17" s="1333"/>
      <c r="AI17" s="1338" t="s">
        <v>624</v>
      </c>
      <c r="AJ17" s="1339"/>
      <c r="AK17" s="1339"/>
      <c r="AL17" s="1338" t="s">
        <v>624</v>
      </c>
      <c r="AM17" s="1339"/>
      <c r="AN17" s="1340"/>
      <c r="AO17" s="1342"/>
      <c r="AP17" s="1330"/>
      <c r="AQ17" s="1330"/>
      <c r="AR17" s="1330"/>
      <c r="AS17" s="1333" t="s">
        <v>568</v>
      </c>
      <c r="AT17" s="1333"/>
      <c r="AU17" s="1333"/>
      <c r="AV17" s="1333"/>
      <c r="AW17" s="1333"/>
      <c r="AX17" s="1333"/>
      <c r="AY17" s="1333"/>
      <c r="AZ17" s="1333"/>
      <c r="BA17" s="1333"/>
      <c r="BB17" s="1333"/>
      <c r="BC17" s="1333"/>
      <c r="BD17" s="1338" t="s">
        <v>624</v>
      </c>
      <c r="BE17" s="1339"/>
      <c r="BF17" s="1339"/>
      <c r="BG17" s="1338" t="s">
        <v>624</v>
      </c>
      <c r="BH17" s="1339"/>
      <c r="BI17" s="1340"/>
      <c r="BJ17" s="1356" t="s">
        <v>579</v>
      </c>
      <c r="BK17" s="1357"/>
      <c r="BL17" s="1357"/>
      <c r="BM17" s="1357"/>
      <c r="BN17" s="1357"/>
      <c r="BO17" s="1357"/>
      <c r="BP17" s="1357"/>
      <c r="BQ17" s="1357"/>
      <c r="BR17" s="1357"/>
      <c r="BS17" s="1357"/>
      <c r="BT17" s="1327"/>
      <c r="BU17" s="1338" t="s">
        <v>624</v>
      </c>
      <c r="BV17" s="1339"/>
      <c r="BW17" s="1339"/>
      <c r="BX17" s="1338" t="s">
        <v>624</v>
      </c>
      <c r="BY17" s="1339"/>
      <c r="BZ17" s="1355"/>
    </row>
    <row r="18" spans="1:78" s="244" customFormat="1" ht="16.5" customHeight="1">
      <c r="A18" s="1329"/>
      <c r="B18" s="1330"/>
      <c r="C18" s="1330"/>
      <c r="D18" s="1330"/>
      <c r="E18" s="1333" t="s">
        <v>596</v>
      </c>
      <c r="F18" s="1333"/>
      <c r="G18" s="1333"/>
      <c r="H18" s="1333"/>
      <c r="I18" s="1333"/>
      <c r="J18" s="1333"/>
      <c r="K18" s="1333"/>
      <c r="L18" s="1339">
        <v>0</v>
      </c>
      <c r="M18" s="1339"/>
      <c r="N18" s="1339"/>
      <c r="O18" s="1339">
        <v>0</v>
      </c>
      <c r="P18" s="1339"/>
      <c r="Q18" s="1340"/>
      <c r="R18" s="1327" t="s">
        <v>556</v>
      </c>
      <c r="S18" s="1325"/>
      <c r="T18" s="1325"/>
      <c r="U18" s="1325"/>
      <c r="V18" s="1333" t="s">
        <v>608</v>
      </c>
      <c r="W18" s="1333"/>
      <c r="X18" s="1333"/>
      <c r="Y18" s="1333"/>
      <c r="Z18" s="1333"/>
      <c r="AA18" s="1333"/>
      <c r="AB18" s="1333"/>
      <c r="AC18" s="1333"/>
      <c r="AD18" s="1333"/>
      <c r="AE18" s="1333"/>
      <c r="AF18" s="1333"/>
      <c r="AG18" s="1333"/>
      <c r="AH18" s="1333"/>
      <c r="AI18" s="1339">
        <v>0</v>
      </c>
      <c r="AJ18" s="1339"/>
      <c r="AK18" s="1339"/>
      <c r="AL18" s="1339">
        <v>0</v>
      </c>
      <c r="AM18" s="1339"/>
      <c r="AN18" s="1340"/>
      <c r="AO18" s="1342" t="s">
        <v>561</v>
      </c>
      <c r="AP18" s="1330"/>
      <c r="AQ18" s="1330"/>
      <c r="AR18" s="1330"/>
      <c r="AS18" s="1333" t="s">
        <v>550</v>
      </c>
      <c r="AT18" s="1333"/>
      <c r="AU18" s="1333"/>
      <c r="AV18" s="1333"/>
      <c r="AW18" s="1333"/>
      <c r="AX18" s="1333"/>
      <c r="AY18" s="1333"/>
      <c r="AZ18" s="1333"/>
      <c r="BA18" s="1333"/>
      <c r="BB18" s="1333"/>
      <c r="BC18" s="1333"/>
      <c r="BD18" s="1339">
        <v>0</v>
      </c>
      <c r="BE18" s="1339"/>
      <c r="BF18" s="1339"/>
      <c r="BG18" s="1339">
        <v>0</v>
      </c>
      <c r="BH18" s="1339"/>
      <c r="BI18" s="1340"/>
      <c r="BJ18" s="1346"/>
      <c r="BK18" s="1333"/>
      <c r="BL18" s="1333"/>
      <c r="BM18" s="1333"/>
      <c r="BN18" s="1333"/>
      <c r="BO18" s="1333"/>
      <c r="BP18" s="1333"/>
      <c r="BQ18" s="1333"/>
      <c r="BR18" s="1333"/>
      <c r="BS18" s="1333"/>
      <c r="BT18" s="1333"/>
      <c r="BU18" s="1333"/>
      <c r="BV18" s="1333"/>
      <c r="BW18" s="1333"/>
      <c r="BX18" s="1333"/>
      <c r="BY18" s="1333"/>
      <c r="BZ18" s="1358"/>
    </row>
    <row r="19" spans="1:78" s="244" customFormat="1" ht="16.5" customHeight="1">
      <c r="A19" s="1329"/>
      <c r="B19" s="1330"/>
      <c r="C19" s="1330"/>
      <c r="D19" s="1330"/>
      <c r="E19" s="1333" t="s">
        <v>597</v>
      </c>
      <c r="F19" s="1333"/>
      <c r="G19" s="1333"/>
      <c r="H19" s="1333"/>
      <c r="I19" s="1333"/>
      <c r="J19" s="1333"/>
      <c r="K19" s="1333"/>
      <c r="L19" s="1339">
        <v>0</v>
      </c>
      <c r="M19" s="1339"/>
      <c r="N19" s="1339"/>
      <c r="O19" s="1339">
        <v>0</v>
      </c>
      <c r="P19" s="1339"/>
      <c r="Q19" s="1340"/>
      <c r="R19" s="1342" t="s">
        <v>547</v>
      </c>
      <c r="S19" s="1330"/>
      <c r="T19" s="1330"/>
      <c r="U19" s="1330"/>
      <c r="V19" s="1333" t="s">
        <v>609</v>
      </c>
      <c r="W19" s="1333"/>
      <c r="X19" s="1333"/>
      <c r="Y19" s="1333"/>
      <c r="Z19" s="1333"/>
      <c r="AA19" s="1333"/>
      <c r="AB19" s="1333"/>
      <c r="AC19" s="1333"/>
      <c r="AD19" s="1333"/>
      <c r="AE19" s="1333"/>
      <c r="AF19" s="1333"/>
      <c r="AG19" s="1333"/>
      <c r="AH19" s="1333"/>
      <c r="AI19" s="1338" t="s">
        <v>624</v>
      </c>
      <c r="AJ19" s="1339"/>
      <c r="AK19" s="1339"/>
      <c r="AL19" s="1338" t="s">
        <v>624</v>
      </c>
      <c r="AM19" s="1339"/>
      <c r="AN19" s="1340"/>
      <c r="AO19" s="1342"/>
      <c r="AP19" s="1330"/>
      <c r="AQ19" s="1330"/>
      <c r="AR19" s="1330"/>
      <c r="AS19" s="1333" t="s">
        <v>549</v>
      </c>
      <c r="AT19" s="1333"/>
      <c r="AU19" s="1333"/>
      <c r="AV19" s="1333"/>
      <c r="AW19" s="1333"/>
      <c r="AX19" s="1333"/>
      <c r="AY19" s="1333"/>
      <c r="AZ19" s="1333"/>
      <c r="BA19" s="1333"/>
      <c r="BB19" s="1333"/>
      <c r="BC19" s="1333"/>
      <c r="BD19" s="1339">
        <v>0</v>
      </c>
      <c r="BE19" s="1339"/>
      <c r="BF19" s="1339"/>
      <c r="BG19" s="1339">
        <v>0</v>
      </c>
      <c r="BH19" s="1339"/>
      <c r="BI19" s="1340"/>
      <c r="BJ19" s="1346"/>
      <c r="BK19" s="1333"/>
      <c r="BL19" s="1333"/>
      <c r="BM19" s="1333"/>
      <c r="BN19" s="1333"/>
      <c r="BO19" s="1333"/>
      <c r="BP19" s="1333"/>
      <c r="BQ19" s="1333"/>
      <c r="BR19" s="1333"/>
      <c r="BS19" s="1333"/>
      <c r="BT19" s="1333"/>
      <c r="BU19" s="1333"/>
      <c r="BV19" s="1333"/>
      <c r="BW19" s="1333"/>
      <c r="BX19" s="1333"/>
      <c r="BY19" s="1333"/>
      <c r="BZ19" s="1358"/>
    </row>
    <row r="20" spans="1:78" s="244" customFormat="1" ht="16.5" customHeight="1">
      <c r="A20" s="1329" t="s">
        <v>535</v>
      </c>
      <c r="B20" s="1330"/>
      <c r="C20" s="1330"/>
      <c r="D20" s="1330"/>
      <c r="E20" s="1333" t="s">
        <v>543</v>
      </c>
      <c r="F20" s="1333"/>
      <c r="G20" s="1333"/>
      <c r="H20" s="1333"/>
      <c r="I20" s="1333"/>
      <c r="J20" s="1333"/>
      <c r="K20" s="1333"/>
      <c r="L20" s="1338" t="s">
        <v>623</v>
      </c>
      <c r="M20" s="1339"/>
      <c r="N20" s="1339"/>
      <c r="O20" s="1338" t="s">
        <v>623</v>
      </c>
      <c r="P20" s="1339"/>
      <c r="Q20" s="1340"/>
      <c r="R20" s="1342"/>
      <c r="S20" s="1330"/>
      <c r="T20" s="1330"/>
      <c r="U20" s="1330"/>
      <c r="V20" s="1333" t="s">
        <v>610</v>
      </c>
      <c r="W20" s="1333"/>
      <c r="X20" s="1333"/>
      <c r="Y20" s="1333"/>
      <c r="Z20" s="1333"/>
      <c r="AA20" s="1333"/>
      <c r="AB20" s="1333"/>
      <c r="AC20" s="1333"/>
      <c r="AD20" s="1333"/>
      <c r="AE20" s="1333"/>
      <c r="AF20" s="1333"/>
      <c r="AG20" s="1333"/>
      <c r="AH20" s="1333"/>
      <c r="AI20" s="1339">
        <v>0</v>
      </c>
      <c r="AJ20" s="1339"/>
      <c r="AK20" s="1339"/>
      <c r="AL20" s="1339">
        <v>0</v>
      </c>
      <c r="AM20" s="1339"/>
      <c r="AN20" s="1340"/>
      <c r="AO20" s="1342" t="s">
        <v>562</v>
      </c>
      <c r="AP20" s="1330"/>
      <c r="AQ20" s="1330"/>
      <c r="AR20" s="1330"/>
      <c r="AS20" s="1333" t="s">
        <v>569</v>
      </c>
      <c r="AT20" s="1333"/>
      <c r="AU20" s="1333"/>
      <c r="AV20" s="1333"/>
      <c r="AW20" s="1333"/>
      <c r="AX20" s="1333"/>
      <c r="AY20" s="1333"/>
      <c r="AZ20" s="1333"/>
      <c r="BA20" s="1333"/>
      <c r="BB20" s="1333"/>
      <c r="BC20" s="1333"/>
      <c r="BD20" s="1339">
        <v>0</v>
      </c>
      <c r="BE20" s="1339"/>
      <c r="BF20" s="1339"/>
      <c r="BG20" s="1339">
        <v>0</v>
      </c>
      <c r="BH20" s="1339"/>
      <c r="BI20" s="1340"/>
      <c r="BJ20" s="1346"/>
      <c r="BK20" s="1333"/>
      <c r="BL20" s="1333"/>
      <c r="BM20" s="1333"/>
      <c r="BN20" s="1333"/>
      <c r="BO20" s="1333"/>
      <c r="BP20" s="1333"/>
      <c r="BQ20" s="1333"/>
      <c r="BR20" s="1333"/>
      <c r="BS20" s="1333"/>
      <c r="BT20" s="1333"/>
      <c r="BU20" s="1333"/>
      <c r="BV20" s="1333"/>
      <c r="BW20" s="1333"/>
      <c r="BX20" s="1333"/>
      <c r="BY20" s="1333"/>
      <c r="BZ20" s="1358"/>
    </row>
    <row r="21" spans="1:78" s="244" customFormat="1" ht="16.5" customHeight="1">
      <c r="A21" s="1329"/>
      <c r="B21" s="1330"/>
      <c r="C21" s="1330"/>
      <c r="D21" s="1330"/>
      <c r="E21" s="1333" t="s">
        <v>544</v>
      </c>
      <c r="F21" s="1333"/>
      <c r="G21" s="1333"/>
      <c r="H21" s="1333"/>
      <c r="I21" s="1333"/>
      <c r="J21" s="1333"/>
      <c r="K21" s="1333"/>
      <c r="L21" s="1338" t="s">
        <v>623</v>
      </c>
      <c r="M21" s="1339"/>
      <c r="N21" s="1339"/>
      <c r="O21" s="1338" t="s">
        <v>623</v>
      </c>
      <c r="P21" s="1339"/>
      <c r="Q21" s="1340"/>
      <c r="R21" s="1342"/>
      <c r="S21" s="1330"/>
      <c r="T21" s="1330"/>
      <c r="U21" s="1330"/>
      <c r="V21" s="1333" t="s">
        <v>611</v>
      </c>
      <c r="W21" s="1333"/>
      <c r="X21" s="1333"/>
      <c r="Y21" s="1333"/>
      <c r="Z21" s="1333"/>
      <c r="AA21" s="1333"/>
      <c r="AB21" s="1333"/>
      <c r="AC21" s="1333"/>
      <c r="AD21" s="1333"/>
      <c r="AE21" s="1333"/>
      <c r="AF21" s="1333"/>
      <c r="AG21" s="1333"/>
      <c r="AH21" s="1333"/>
      <c r="AI21" s="1338" t="s">
        <v>624</v>
      </c>
      <c r="AJ21" s="1339"/>
      <c r="AK21" s="1339"/>
      <c r="AL21" s="1338" t="s">
        <v>624</v>
      </c>
      <c r="AM21" s="1339"/>
      <c r="AN21" s="1340"/>
      <c r="AO21" s="1342"/>
      <c r="AP21" s="1330"/>
      <c r="AQ21" s="1330"/>
      <c r="AR21" s="1330"/>
      <c r="AS21" s="1333" t="s">
        <v>568</v>
      </c>
      <c r="AT21" s="1333"/>
      <c r="AU21" s="1333"/>
      <c r="AV21" s="1333"/>
      <c r="AW21" s="1333"/>
      <c r="AX21" s="1333"/>
      <c r="AY21" s="1333"/>
      <c r="AZ21" s="1333"/>
      <c r="BA21" s="1333"/>
      <c r="BB21" s="1333"/>
      <c r="BC21" s="1333"/>
      <c r="BD21" s="1339">
        <v>0</v>
      </c>
      <c r="BE21" s="1339"/>
      <c r="BF21" s="1339"/>
      <c r="BG21" s="1339">
        <v>0</v>
      </c>
      <c r="BH21" s="1339"/>
      <c r="BI21" s="1340"/>
      <c r="BJ21" s="1346"/>
      <c r="BK21" s="1333"/>
      <c r="BL21" s="1333"/>
      <c r="BM21" s="1333"/>
      <c r="BN21" s="1333"/>
      <c r="BO21" s="1333"/>
      <c r="BP21" s="1333"/>
      <c r="BQ21" s="1333"/>
      <c r="BR21" s="1333"/>
      <c r="BS21" s="1333"/>
      <c r="BT21" s="1333"/>
      <c r="BU21" s="1333"/>
      <c r="BV21" s="1333"/>
      <c r="BW21" s="1333"/>
      <c r="BX21" s="1333"/>
      <c r="BY21" s="1333"/>
      <c r="BZ21" s="1358"/>
    </row>
    <row r="22" spans="1:78" s="244" customFormat="1" ht="16.5" customHeight="1">
      <c r="A22" s="1329" t="s">
        <v>536</v>
      </c>
      <c r="B22" s="1330"/>
      <c r="C22" s="1330"/>
      <c r="D22" s="1330"/>
      <c r="E22" s="1333" t="s">
        <v>598</v>
      </c>
      <c r="F22" s="1333"/>
      <c r="G22" s="1333"/>
      <c r="H22" s="1333"/>
      <c r="I22" s="1333"/>
      <c r="J22" s="1333"/>
      <c r="K22" s="1333"/>
      <c r="L22" s="1338" t="s">
        <v>623</v>
      </c>
      <c r="M22" s="1339"/>
      <c r="N22" s="1339"/>
      <c r="O22" s="1338" t="s">
        <v>623</v>
      </c>
      <c r="P22" s="1339"/>
      <c r="Q22" s="1340"/>
      <c r="R22" s="1342"/>
      <c r="S22" s="1330"/>
      <c r="T22" s="1330"/>
      <c r="U22" s="1330"/>
      <c r="V22" s="1333" t="s">
        <v>612</v>
      </c>
      <c r="W22" s="1333"/>
      <c r="X22" s="1333"/>
      <c r="Y22" s="1333"/>
      <c r="Z22" s="1333"/>
      <c r="AA22" s="1333"/>
      <c r="AB22" s="1333"/>
      <c r="AC22" s="1333"/>
      <c r="AD22" s="1333"/>
      <c r="AE22" s="1333"/>
      <c r="AF22" s="1333"/>
      <c r="AG22" s="1333"/>
      <c r="AH22" s="1333"/>
      <c r="AI22" s="1339">
        <v>0</v>
      </c>
      <c r="AJ22" s="1339"/>
      <c r="AK22" s="1339"/>
      <c r="AL22" s="1339">
        <v>0</v>
      </c>
      <c r="AM22" s="1339"/>
      <c r="AN22" s="1340"/>
      <c r="AO22" s="1390"/>
      <c r="AP22" s="361"/>
      <c r="AQ22" s="361"/>
      <c r="AR22" s="1091"/>
      <c r="AS22" s="1333" t="s">
        <v>570</v>
      </c>
      <c r="AT22" s="1333"/>
      <c r="AU22" s="1333"/>
      <c r="AV22" s="1333"/>
      <c r="AW22" s="1333"/>
      <c r="AX22" s="1333"/>
      <c r="AY22" s="1333"/>
      <c r="AZ22" s="1333"/>
      <c r="BA22" s="1333"/>
      <c r="BB22" s="1333"/>
      <c r="BC22" s="1333"/>
      <c r="BD22" s="1338" t="s">
        <v>624</v>
      </c>
      <c r="BE22" s="1339"/>
      <c r="BF22" s="1339"/>
      <c r="BG22" s="1338" t="s">
        <v>624</v>
      </c>
      <c r="BH22" s="1339"/>
      <c r="BI22" s="1340"/>
      <c r="BJ22" s="1346"/>
      <c r="BK22" s="1333"/>
      <c r="BL22" s="1333"/>
      <c r="BM22" s="1333"/>
      <c r="BN22" s="1333"/>
      <c r="BO22" s="1333"/>
      <c r="BP22" s="1333"/>
      <c r="BQ22" s="1333"/>
      <c r="BR22" s="1333"/>
      <c r="BS22" s="1333"/>
      <c r="BT22" s="1333"/>
      <c r="BU22" s="1333"/>
      <c r="BV22" s="1333"/>
      <c r="BW22" s="1333"/>
      <c r="BX22" s="1333"/>
      <c r="BY22" s="1333"/>
      <c r="BZ22" s="1358"/>
    </row>
    <row r="23" spans="1:78" s="244" customFormat="1" ht="16.5" customHeight="1">
      <c r="A23" s="1329"/>
      <c r="B23" s="1330"/>
      <c r="C23" s="1330"/>
      <c r="D23" s="1330"/>
      <c r="E23" s="1333" t="s">
        <v>599</v>
      </c>
      <c r="F23" s="1333"/>
      <c r="G23" s="1333"/>
      <c r="H23" s="1333"/>
      <c r="I23" s="1333"/>
      <c r="J23" s="1333"/>
      <c r="K23" s="1333"/>
      <c r="L23" s="1338" t="s">
        <v>623</v>
      </c>
      <c r="M23" s="1339"/>
      <c r="N23" s="1339"/>
      <c r="O23" s="1338" t="s">
        <v>623</v>
      </c>
      <c r="P23" s="1339"/>
      <c r="Q23" s="1340"/>
      <c r="R23" s="1342"/>
      <c r="S23" s="1330"/>
      <c r="T23" s="1330"/>
      <c r="U23" s="1330"/>
      <c r="V23" s="1333" t="s">
        <v>613</v>
      </c>
      <c r="W23" s="1333"/>
      <c r="X23" s="1333"/>
      <c r="Y23" s="1333"/>
      <c r="Z23" s="1333"/>
      <c r="AA23" s="1333"/>
      <c r="AB23" s="1333"/>
      <c r="AC23" s="1333"/>
      <c r="AD23" s="1333"/>
      <c r="AE23" s="1333"/>
      <c r="AF23" s="1333"/>
      <c r="AG23" s="1333"/>
      <c r="AH23" s="1333"/>
      <c r="AI23" s="1339">
        <v>0</v>
      </c>
      <c r="AJ23" s="1339"/>
      <c r="AK23" s="1339"/>
      <c r="AL23" s="1339">
        <v>0</v>
      </c>
      <c r="AM23" s="1339"/>
      <c r="AN23" s="1340"/>
      <c r="AO23" s="1391"/>
      <c r="AP23" s="1381" t="s">
        <v>586</v>
      </c>
      <c r="AQ23" s="1381"/>
      <c r="AR23" s="1392"/>
      <c r="AS23" s="1333" t="s">
        <v>571</v>
      </c>
      <c r="AT23" s="1333"/>
      <c r="AU23" s="1333"/>
      <c r="AV23" s="1333"/>
      <c r="AW23" s="1333"/>
      <c r="AX23" s="1333"/>
      <c r="AY23" s="1333"/>
      <c r="AZ23" s="1333"/>
      <c r="BA23" s="1333"/>
      <c r="BB23" s="1333"/>
      <c r="BC23" s="1333"/>
      <c r="BD23" s="1351">
        <v>0</v>
      </c>
      <c r="BE23" s="1352"/>
      <c r="BF23" s="1353"/>
      <c r="BG23" s="1351">
        <v>0</v>
      </c>
      <c r="BH23" s="1352"/>
      <c r="BI23" s="1354"/>
      <c r="BJ23" s="1346"/>
      <c r="BK23" s="1333"/>
      <c r="BL23" s="1333"/>
      <c r="BM23" s="1333"/>
      <c r="BN23" s="1333"/>
      <c r="BO23" s="1333"/>
      <c r="BP23" s="1333"/>
      <c r="BQ23" s="1333"/>
      <c r="BR23" s="1333"/>
      <c r="BS23" s="1333"/>
      <c r="BT23" s="1333"/>
      <c r="BU23" s="1333"/>
      <c r="BV23" s="1333"/>
      <c r="BW23" s="1333"/>
      <c r="BX23" s="1333"/>
      <c r="BY23" s="1333"/>
      <c r="BZ23" s="1358"/>
    </row>
    <row r="24" spans="1:78" s="244" customFormat="1" ht="16.5" customHeight="1">
      <c r="A24" s="1329" t="s">
        <v>537</v>
      </c>
      <c r="B24" s="1330"/>
      <c r="C24" s="1330"/>
      <c r="D24" s="1330"/>
      <c r="E24" s="1333" t="s">
        <v>551</v>
      </c>
      <c r="F24" s="1333"/>
      <c r="G24" s="1333"/>
      <c r="H24" s="1333"/>
      <c r="I24" s="1333"/>
      <c r="J24" s="1333"/>
      <c r="K24" s="1333"/>
      <c r="L24" s="1339">
        <v>0</v>
      </c>
      <c r="M24" s="1339"/>
      <c r="N24" s="1339"/>
      <c r="O24" s="1339">
        <v>0</v>
      </c>
      <c r="P24" s="1339"/>
      <c r="Q24" s="1340"/>
      <c r="R24" s="1342"/>
      <c r="S24" s="1330"/>
      <c r="T24" s="1330"/>
      <c r="U24" s="1330"/>
      <c r="V24" s="1333" t="s">
        <v>614</v>
      </c>
      <c r="W24" s="1333"/>
      <c r="X24" s="1333"/>
      <c r="Y24" s="1333"/>
      <c r="Z24" s="1333"/>
      <c r="AA24" s="1333"/>
      <c r="AB24" s="1333"/>
      <c r="AC24" s="1333"/>
      <c r="AD24" s="1333"/>
      <c r="AE24" s="1333"/>
      <c r="AF24" s="1333"/>
      <c r="AG24" s="1333"/>
      <c r="AH24" s="1333"/>
      <c r="AI24" s="1339">
        <v>0</v>
      </c>
      <c r="AJ24" s="1339"/>
      <c r="AK24" s="1339"/>
      <c r="AL24" s="1339">
        <v>0</v>
      </c>
      <c r="AM24" s="1339"/>
      <c r="AN24" s="1340"/>
      <c r="AO24" s="1391"/>
      <c r="AP24" s="1381"/>
      <c r="AQ24" s="1381"/>
      <c r="AR24" s="1392"/>
      <c r="AS24" s="1333" t="s">
        <v>572</v>
      </c>
      <c r="AT24" s="1333"/>
      <c r="AU24" s="1333"/>
      <c r="AV24" s="1333"/>
      <c r="AW24" s="1333"/>
      <c r="AX24" s="1333"/>
      <c r="AY24" s="1333"/>
      <c r="AZ24" s="1333"/>
      <c r="BA24" s="1333"/>
      <c r="BB24" s="1333"/>
      <c r="BC24" s="1333"/>
      <c r="BD24" s="1351">
        <v>0</v>
      </c>
      <c r="BE24" s="1352"/>
      <c r="BF24" s="1353"/>
      <c r="BG24" s="1351">
        <v>0</v>
      </c>
      <c r="BH24" s="1352"/>
      <c r="BI24" s="1354"/>
      <c r="BJ24" s="1346"/>
      <c r="BK24" s="1333"/>
      <c r="BL24" s="1333"/>
      <c r="BM24" s="1333"/>
      <c r="BN24" s="1333"/>
      <c r="BO24" s="1333"/>
      <c r="BP24" s="1333"/>
      <c r="BQ24" s="1333"/>
      <c r="BR24" s="1333"/>
      <c r="BS24" s="1333"/>
      <c r="BT24" s="1333"/>
      <c r="BU24" s="1333"/>
      <c r="BV24" s="1333"/>
      <c r="BW24" s="1333"/>
      <c r="BX24" s="1333"/>
      <c r="BY24" s="1333"/>
      <c r="BZ24" s="1358"/>
    </row>
    <row r="25" spans="1:78" s="244" customFormat="1" ht="16.5" customHeight="1">
      <c r="A25" s="1329"/>
      <c r="B25" s="1330"/>
      <c r="C25" s="1330"/>
      <c r="D25" s="1330"/>
      <c r="E25" s="1333" t="s">
        <v>552</v>
      </c>
      <c r="F25" s="1333"/>
      <c r="G25" s="1333"/>
      <c r="H25" s="1333"/>
      <c r="I25" s="1333"/>
      <c r="J25" s="1333"/>
      <c r="K25" s="1333"/>
      <c r="L25" s="1339">
        <v>0</v>
      </c>
      <c r="M25" s="1339"/>
      <c r="N25" s="1339"/>
      <c r="O25" s="1339">
        <v>0</v>
      </c>
      <c r="P25" s="1339"/>
      <c r="Q25" s="1340"/>
      <c r="R25" s="1327" t="s">
        <v>555</v>
      </c>
      <c r="S25" s="1325"/>
      <c r="T25" s="1325"/>
      <c r="U25" s="1325"/>
      <c r="V25" s="1333" t="s">
        <v>615</v>
      </c>
      <c r="W25" s="1333"/>
      <c r="X25" s="1333"/>
      <c r="Y25" s="1333"/>
      <c r="Z25" s="1333"/>
      <c r="AA25" s="1333"/>
      <c r="AB25" s="1333"/>
      <c r="AC25" s="1333"/>
      <c r="AD25" s="1333"/>
      <c r="AE25" s="1333"/>
      <c r="AF25" s="1333"/>
      <c r="AG25" s="1333"/>
      <c r="AH25" s="1333"/>
      <c r="AI25" s="1339">
        <v>0</v>
      </c>
      <c r="AJ25" s="1339"/>
      <c r="AK25" s="1339"/>
      <c r="AL25" s="1339">
        <v>0</v>
      </c>
      <c r="AM25" s="1339"/>
      <c r="AN25" s="1340"/>
      <c r="AO25" s="1391"/>
      <c r="AP25" s="1381"/>
      <c r="AQ25" s="1381"/>
      <c r="AR25" s="1392"/>
      <c r="AS25" s="1333" t="s">
        <v>573</v>
      </c>
      <c r="AT25" s="1333"/>
      <c r="AU25" s="1333"/>
      <c r="AV25" s="1333"/>
      <c r="AW25" s="1333"/>
      <c r="AX25" s="1333"/>
      <c r="AY25" s="1333"/>
      <c r="AZ25" s="1333"/>
      <c r="BA25" s="1333"/>
      <c r="BB25" s="1333"/>
      <c r="BC25" s="1333"/>
      <c r="BD25" s="1351">
        <v>0</v>
      </c>
      <c r="BE25" s="1352"/>
      <c r="BF25" s="1353"/>
      <c r="BG25" s="1351">
        <v>0</v>
      </c>
      <c r="BH25" s="1352"/>
      <c r="BI25" s="1354"/>
      <c r="BJ25" s="1346"/>
      <c r="BK25" s="1333"/>
      <c r="BL25" s="1333"/>
      <c r="BM25" s="1333"/>
      <c r="BN25" s="1333"/>
      <c r="BO25" s="1333"/>
      <c r="BP25" s="1333"/>
      <c r="BQ25" s="1333"/>
      <c r="BR25" s="1333"/>
      <c r="BS25" s="1333"/>
      <c r="BT25" s="1333"/>
      <c r="BU25" s="1333"/>
      <c r="BV25" s="1333"/>
      <c r="BW25" s="1333"/>
      <c r="BX25" s="1333"/>
      <c r="BY25" s="1333"/>
      <c r="BZ25" s="1358"/>
    </row>
    <row r="26" spans="1:78" s="244" customFormat="1" ht="16.5" customHeight="1">
      <c r="A26" s="1334" t="s">
        <v>600</v>
      </c>
      <c r="B26" s="1335"/>
      <c r="C26" s="1335"/>
      <c r="D26" s="1335"/>
      <c r="E26" s="1335"/>
      <c r="F26" s="1335"/>
      <c r="G26" s="1335"/>
      <c r="H26" s="1335"/>
      <c r="I26" s="1335"/>
      <c r="J26" s="1335"/>
      <c r="K26" s="1336"/>
      <c r="L26" s="1339">
        <v>0</v>
      </c>
      <c r="M26" s="1339"/>
      <c r="N26" s="1339"/>
      <c r="O26" s="1339">
        <v>0</v>
      </c>
      <c r="P26" s="1339"/>
      <c r="Q26" s="1340"/>
      <c r="R26" s="1327"/>
      <c r="S26" s="1325"/>
      <c r="T26" s="1325"/>
      <c r="U26" s="1325"/>
      <c r="V26" s="1333" t="s">
        <v>616</v>
      </c>
      <c r="W26" s="1333"/>
      <c r="X26" s="1333"/>
      <c r="Y26" s="1333"/>
      <c r="Z26" s="1333"/>
      <c r="AA26" s="1333"/>
      <c r="AB26" s="1333"/>
      <c r="AC26" s="1333"/>
      <c r="AD26" s="1333"/>
      <c r="AE26" s="1333"/>
      <c r="AF26" s="1333"/>
      <c r="AG26" s="1333"/>
      <c r="AH26" s="1333"/>
      <c r="AI26" s="1339">
        <v>0</v>
      </c>
      <c r="AJ26" s="1339"/>
      <c r="AK26" s="1339"/>
      <c r="AL26" s="1339">
        <v>0</v>
      </c>
      <c r="AM26" s="1339"/>
      <c r="AN26" s="1340"/>
      <c r="AO26" s="1391"/>
      <c r="AP26" s="1381"/>
      <c r="AQ26" s="1381"/>
      <c r="AR26" s="1392"/>
      <c r="AS26" s="1333" t="s">
        <v>574</v>
      </c>
      <c r="AT26" s="1333"/>
      <c r="AU26" s="1333"/>
      <c r="AV26" s="1333"/>
      <c r="AW26" s="1333"/>
      <c r="AX26" s="1333"/>
      <c r="AY26" s="1333"/>
      <c r="AZ26" s="1333"/>
      <c r="BA26" s="1333"/>
      <c r="BB26" s="1333"/>
      <c r="BC26" s="1333"/>
      <c r="BD26" s="1351">
        <v>0</v>
      </c>
      <c r="BE26" s="1352"/>
      <c r="BF26" s="1353"/>
      <c r="BG26" s="1351">
        <v>0</v>
      </c>
      <c r="BH26" s="1352"/>
      <c r="BI26" s="1354"/>
      <c r="BJ26" s="1346"/>
      <c r="BK26" s="1333"/>
      <c r="BL26" s="1333"/>
      <c r="BM26" s="1333"/>
      <c r="BN26" s="1333"/>
      <c r="BO26" s="1333"/>
      <c r="BP26" s="1333"/>
      <c r="BQ26" s="1333"/>
      <c r="BR26" s="1333"/>
      <c r="BS26" s="1333"/>
      <c r="BT26" s="1333"/>
      <c r="BU26" s="1333"/>
      <c r="BV26" s="1333"/>
      <c r="BW26" s="1333"/>
      <c r="BX26" s="1333"/>
      <c r="BY26" s="1333"/>
      <c r="BZ26" s="1358"/>
    </row>
    <row r="27" spans="1:78" s="244" customFormat="1" ht="16.5" customHeight="1">
      <c r="A27" s="1329" t="s">
        <v>538</v>
      </c>
      <c r="B27" s="1330"/>
      <c r="C27" s="1330"/>
      <c r="D27" s="1330"/>
      <c r="E27" s="1330"/>
      <c r="F27" s="1333" t="s">
        <v>551</v>
      </c>
      <c r="G27" s="1333"/>
      <c r="H27" s="1333"/>
      <c r="I27" s="1333"/>
      <c r="J27" s="1333"/>
      <c r="K27" s="1333"/>
      <c r="L27" s="1339">
        <v>0</v>
      </c>
      <c r="M27" s="1339"/>
      <c r="N27" s="1339"/>
      <c r="O27" s="1339">
        <v>0</v>
      </c>
      <c r="P27" s="1339"/>
      <c r="Q27" s="1340"/>
      <c r="R27" s="1327"/>
      <c r="S27" s="1325"/>
      <c r="T27" s="1325"/>
      <c r="U27" s="1325"/>
      <c r="V27" s="1333" t="s">
        <v>617</v>
      </c>
      <c r="W27" s="1333"/>
      <c r="X27" s="1333"/>
      <c r="Y27" s="1333"/>
      <c r="Z27" s="1333"/>
      <c r="AA27" s="1333"/>
      <c r="AB27" s="1333"/>
      <c r="AC27" s="1333"/>
      <c r="AD27" s="1333"/>
      <c r="AE27" s="1333"/>
      <c r="AF27" s="1333"/>
      <c r="AG27" s="1333"/>
      <c r="AH27" s="1333"/>
      <c r="AI27" s="1339">
        <v>0</v>
      </c>
      <c r="AJ27" s="1339"/>
      <c r="AK27" s="1339"/>
      <c r="AL27" s="1339">
        <v>0</v>
      </c>
      <c r="AM27" s="1339"/>
      <c r="AN27" s="1340"/>
      <c r="AO27" s="1391"/>
      <c r="AP27" s="1381" t="s">
        <v>621</v>
      </c>
      <c r="AQ27" s="1381"/>
      <c r="AR27" s="1392"/>
      <c r="AS27" s="1333" t="s">
        <v>575</v>
      </c>
      <c r="AT27" s="1333"/>
      <c r="AU27" s="1333"/>
      <c r="AV27" s="1333"/>
      <c r="AW27" s="1333"/>
      <c r="AX27" s="1333"/>
      <c r="AY27" s="1333"/>
      <c r="AZ27" s="1333"/>
      <c r="BA27" s="1333"/>
      <c r="BB27" s="1333"/>
      <c r="BC27" s="1333"/>
      <c r="BD27" s="1351">
        <v>0</v>
      </c>
      <c r="BE27" s="1352"/>
      <c r="BF27" s="1353"/>
      <c r="BG27" s="1351">
        <v>0</v>
      </c>
      <c r="BH27" s="1352"/>
      <c r="BI27" s="1354"/>
      <c r="BJ27" s="1346"/>
      <c r="BK27" s="1333"/>
      <c r="BL27" s="1333"/>
      <c r="BM27" s="1333"/>
      <c r="BN27" s="1333"/>
      <c r="BO27" s="1333"/>
      <c r="BP27" s="1333"/>
      <c r="BQ27" s="1333"/>
      <c r="BR27" s="1333"/>
      <c r="BS27" s="1333"/>
      <c r="BT27" s="1333"/>
      <c r="BU27" s="1333"/>
      <c r="BV27" s="1333"/>
      <c r="BW27" s="1333"/>
      <c r="BX27" s="1333"/>
      <c r="BY27" s="1333"/>
      <c r="BZ27" s="1358"/>
    </row>
    <row r="28" spans="1:78" s="244" customFormat="1" ht="16.5" customHeight="1">
      <c r="A28" s="1329"/>
      <c r="B28" s="1330"/>
      <c r="C28" s="1330"/>
      <c r="D28" s="1330"/>
      <c r="E28" s="1330"/>
      <c r="F28" s="1333" t="s">
        <v>545</v>
      </c>
      <c r="G28" s="1333"/>
      <c r="H28" s="1333"/>
      <c r="I28" s="1333"/>
      <c r="J28" s="1333"/>
      <c r="K28" s="1333"/>
      <c r="L28" s="1339">
        <v>0</v>
      </c>
      <c r="M28" s="1339"/>
      <c r="N28" s="1339"/>
      <c r="O28" s="1339">
        <v>0</v>
      </c>
      <c r="P28" s="1339"/>
      <c r="Q28" s="1340"/>
      <c r="R28" s="1327" t="s">
        <v>554</v>
      </c>
      <c r="S28" s="1325"/>
      <c r="T28" s="1325"/>
      <c r="U28" s="1325"/>
      <c r="V28" s="1333" t="s">
        <v>618</v>
      </c>
      <c r="W28" s="1333"/>
      <c r="X28" s="1333"/>
      <c r="Y28" s="1333"/>
      <c r="Z28" s="1333"/>
      <c r="AA28" s="1333"/>
      <c r="AB28" s="1333"/>
      <c r="AC28" s="1333"/>
      <c r="AD28" s="1333"/>
      <c r="AE28" s="1333"/>
      <c r="AF28" s="1333"/>
      <c r="AG28" s="1333"/>
      <c r="AH28" s="1333"/>
      <c r="AI28" s="1339">
        <v>0</v>
      </c>
      <c r="AJ28" s="1339"/>
      <c r="AK28" s="1339"/>
      <c r="AL28" s="1339">
        <v>0</v>
      </c>
      <c r="AM28" s="1339"/>
      <c r="AN28" s="1340"/>
      <c r="AO28" s="1391"/>
      <c r="AP28" s="1381"/>
      <c r="AQ28" s="1381"/>
      <c r="AR28" s="1392"/>
      <c r="AS28" s="1333" t="s">
        <v>576</v>
      </c>
      <c r="AT28" s="1333"/>
      <c r="AU28" s="1333"/>
      <c r="AV28" s="1333"/>
      <c r="AW28" s="1333"/>
      <c r="AX28" s="1333"/>
      <c r="AY28" s="1333"/>
      <c r="AZ28" s="1333"/>
      <c r="BA28" s="1333"/>
      <c r="BB28" s="1333"/>
      <c r="BC28" s="1333"/>
      <c r="BD28" s="1351">
        <v>0</v>
      </c>
      <c r="BE28" s="1352"/>
      <c r="BF28" s="1353"/>
      <c r="BG28" s="1351">
        <v>0</v>
      </c>
      <c r="BH28" s="1352"/>
      <c r="BI28" s="1354"/>
      <c r="BJ28" s="1346"/>
      <c r="BK28" s="1333"/>
      <c r="BL28" s="1333"/>
      <c r="BM28" s="1333"/>
      <c r="BN28" s="1333"/>
      <c r="BO28" s="1333"/>
      <c r="BP28" s="1333"/>
      <c r="BQ28" s="1333"/>
      <c r="BR28" s="1333"/>
      <c r="BS28" s="1333"/>
      <c r="BT28" s="1333"/>
      <c r="BU28" s="1333"/>
      <c r="BV28" s="1333"/>
      <c r="BW28" s="1333"/>
      <c r="BX28" s="1333"/>
      <c r="BY28" s="1333"/>
      <c r="BZ28" s="1358"/>
    </row>
    <row r="29" spans="1:78" s="244" customFormat="1" ht="16.5" customHeight="1" thickBot="1">
      <c r="A29" s="1331" t="s">
        <v>539</v>
      </c>
      <c r="B29" s="1332"/>
      <c r="C29" s="1332"/>
      <c r="D29" s="1332"/>
      <c r="E29" s="1332"/>
      <c r="F29" s="1337" t="s">
        <v>553</v>
      </c>
      <c r="G29" s="1337"/>
      <c r="H29" s="1337"/>
      <c r="I29" s="1337"/>
      <c r="J29" s="1337"/>
      <c r="K29" s="1337"/>
      <c r="L29" s="1339">
        <v>0</v>
      </c>
      <c r="M29" s="1339"/>
      <c r="N29" s="1339"/>
      <c r="O29" s="1339">
        <v>0</v>
      </c>
      <c r="P29" s="1339"/>
      <c r="Q29" s="1340"/>
      <c r="R29" s="1341"/>
      <c r="S29" s="1332"/>
      <c r="T29" s="1332"/>
      <c r="U29" s="1332"/>
      <c r="V29" s="1337" t="s">
        <v>619</v>
      </c>
      <c r="W29" s="1337"/>
      <c r="X29" s="1337"/>
      <c r="Y29" s="1337"/>
      <c r="Z29" s="1337"/>
      <c r="AA29" s="1337"/>
      <c r="AB29" s="1337"/>
      <c r="AC29" s="1337"/>
      <c r="AD29" s="1337"/>
      <c r="AE29" s="1337"/>
      <c r="AF29" s="1337"/>
      <c r="AG29" s="1337"/>
      <c r="AH29" s="1337"/>
      <c r="AI29" s="1339">
        <v>0</v>
      </c>
      <c r="AJ29" s="1339"/>
      <c r="AK29" s="1339"/>
      <c r="AL29" s="1339">
        <v>0</v>
      </c>
      <c r="AM29" s="1339"/>
      <c r="AN29" s="1340"/>
      <c r="AO29" s="1382"/>
      <c r="AP29" s="1383"/>
      <c r="AQ29" s="1383"/>
      <c r="AR29" s="1384"/>
      <c r="AS29" s="1337" t="s">
        <v>577</v>
      </c>
      <c r="AT29" s="1337"/>
      <c r="AU29" s="1337"/>
      <c r="AV29" s="1337"/>
      <c r="AW29" s="1337"/>
      <c r="AX29" s="1337"/>
      <c r="AY29" s="1337"/>
      <c r="AZ29" s="1337"/>
      <c r="BA29" s="1337"/>
      <c r="BB29" s="1337"/>
      <c r="BC29" s="1337"/>
      <c r="BD29" s="1347">
        <v>0</v>
      </c>
      <c r="BE29" s="1348"/>
      <c r="BF29" s="1349"/>
      <c r="BG29" s="1347">
        <v>0</v>
      </c>
      <c r="BH29" s="1348"/>
      <c r="BI29" s="1350"/>
      <c r="BJ29" s="1359"/>
      <c r="BK29" s="1337"/>
      <c r="BL29" s="1337"/>
      <c r="BM29" s="1337"/>
      <c r="BN29" s="1337"/>
      <c r="BO29" s="1337"/>
      <c r="BP29" s="1337"/>
      <c r="BQ29" s="1337"/>
      <c r="BR29" s="1337"/>
      <c r="BS29" s="1337"/>
      <c r="BT29" s="1337"/>
      <c r="BU29" s="1337"/>
      <c r="BV29" s="1337"/>
      <c r="BW29" s="1337"/>
      <c r="BX29" s="1337"/>
      <c r="BY29" s="1337"/>
      <c r="BZ29" s="1360"/>
    </row>
    <row r="30" spans="1:55" s="244" customFormat="1" ht="15" customHeight="1">
      <c r="A30" s="1388" t="s">
        <v>587</v>
      </c>
      <c r="B30" s="1389"/>
      <c r="C30" s="1388" t="s">
        <v>588</v>
      </c>
      <c r="D30" s="1388"/>
      <c r="E30" s="1388"/>
      <c r="F30" s="1388"/>
      <c r="G30" s="1388"/>
      <c r="H30" s="1388"/>
      <c r="I30" s="1388"/>
      <c r="J30" s="1388"/>
      <c r="K30" s="1388"/>
      <c r="L30" s="1388"/>
      <c r="M30" s="1388"/>
      <c r="N30" s="1388"/>
      <c r="O30" s="1388"/>
      <c r="P30" s="1388"/>
      <c r="Q30" s="1388"/>
      <c r="R30" s="1388"/>
      <c r="S30" s="1388"/>
      <c r="T30" s="1388"/>
      <c r="U30" s="1388"/>
      <c r="V30" s="1388"/>
      <c r="W30" s="1388"/>
      <c r="X30" s="1388"/>
      <c r="Y30" s="1388"/>
      <c r="Z30" s="1388"/>
      <c r="AA30" s="1388"/>
      <c r="AB30" s="1388"/>
      <c r="AC30" s="1388"/>
      <c r="AD30" s="1388"/>
      <c r="AE30" s="1388"/>
      <c r="AF30" s="1388"/>
      <c r="AG30" s="1388"/>
      <c r="AH30" s="1388"/>
      <c r="AI30" s="1388"/>
      <c r="AJ30" s="1388"/>
      <c r="AK30" s="1388"/>
      <c r="AL30" s="1388"/>
      <c r="AM30" s="1388"/>
      <c r="AN30" s="1388"/>
      <c r="AO30" s="1388"/>
      <c r="AP30" s="1388"/>
      <c r="AQ30" s="1388"/>
      <c r="AR30" s="1388"/>
      <c r="AS30" s="1388"/>
      <c r="AT30" s="1388"/>
      <c r="AU30" s="1388"/>
      <c r="AV30" s="1388"/>
      <c r="AW30" s="1388"/>
      <c r="AX30" s="1388"/>
      <c r="AY30" s="1388"/>
      <c r="AZ30" s="1388"/>
      <c r="BA30" s="1388"/>
      <c r="BB30" s="1388"/>
      <c r="BC30" s="1388"/>
    </row>
    <row r="31" spans="2:55" s="244" customFormat="1" ht="15" customHeight="1">
      <c r="B31" s="245"/>
      <c r="C31" s="1375" t="s">
        <v>589</v>
      </c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1375"/>
      <c r="AJ31" s="1375"/>
      <c r="AK31" s="1375"/>
      <c r="AL31" s="1375"/>
      <c r="AM31" s="1375"/>
      <c r="AN31" s="137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</row>
    <row r="32" spans="2:55" s="244" customFormat="1" ht="15" customHeight="1">
      <c r="B32" s="245"/>
      <c r="C32" s="1375" t="s">
        <v>590</v>
      </c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1375"/>
      <c r="AJ32" s="1375"/>
      <c r="AK32" s="1375"/>
      <c r="AL32" s="1375"/>
      <c r="AM32" s="1375"/>
      <c r="AN32" s="137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</row>
    <row r="33" spans="2:55" s="244" customFormat="1" ht="15" customHeight="1">
      <c r="B33" s="245"/>
      <c r="C33" s="1375" t="s">
        <v>591</v>
      </c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1375"/>
      <c r="AJ33" s="1375"/>
      <c r="AK33" s="1375"/>
      <c r="AL33" s="1375"/>
      <c r="AM33" s="1375"/>
      <c r="AN33" s="137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</row>
    <row r="34" ht="15" customHeight="1"/>
    <row r="35" ht="15" customHeight="1">
      <c r="E35" s="296" t="s">
        <v>0</v>
      </c>
    </row>
    <row r="36" ht="15" customHeight="1"/>
    <row r="37" ht="15.75" customHeight="1"/>
    <row r="38" ht="15.75" customHeight="1"/>
    <row r="39" ht="15.75" customHeight="1"/>
  </sheetData>
  <mergeCells count="273">
    <mergeCell ref="C33:AN33"/>
    <mergeCell ref="C30:BC30"/>
    <mergeCell ref="A30:B30"/>
    <mergeCell ref="BP7:BQ8"/>
    <mergeCell ref="BI7:BO8"/>
    <mergeCell ref="AP23:AQ24"/>
    <mergeCell ref="AP27:AQ28"/>
    <mergeCell ref="AO22:AR22"/>
    <mergeCell ref="AO23:AO28"/>
    <mergeCell ref="AR23:AR28"/>
    <mergeCell ref="BR1:BZ1"/>
    <mergeCell ref="C31:AN31"/>
    <mergeCell ref="C32:AN32"/>
    <mergeCell ref="BY7:BZ8"/>
    <mergeCell ref="BR7:BX8"/>
    <mergeCell ref="AP25:AQ26"/>
    <mergeCell ref="AO29:AR29"/>
    <mergeCell ref="K4:BA5"/>
    <mergeCell ref="K2:BA3"/>
    <mergeCell ref="BD3:BO4"/>
    <mergeCell ref="BJ17:BT17"/>
    <mergeCell ref="BJ18:BZ29"/>
    <mergeCell ref="A7:I8"/>
    <mergeCell ref="J7:R8"/>
    <mergeCell ref="S7:AA8"/>
    <mergeCell ref="BU16:BW16"/>
    <mergeCell ref="BX16:BZ16"/>
    <mergeCell ref="BU17:BW17"/>
    <mergeCell ref="BX17:BZ17"/>
    <mergeCell ref="BU14:BW14"/>
    <mergeCell ref="BX14:BZ14"/>
    <mergeCell ref="BU15:BW15"/>
    <mergeCell ref="BX15:BZ15"/>
    <mergeCell ref="BU12:BW12"/>
    <mergeCell ref="BX12:BZ12"/>
    <mergeCell ref="BU13:BW13"/>
    <mergeCell ref="BX13:BZ13"/>
    <mergeCell ref="BU10:BW10"/>
    <mergeCell ref="BX10:BZ10"/>
    <mergeCell ref="BU11:BW11"/>
    <mergeCell ref="BX11:BZ11"/>
    <mergeCell ref="BD28:BF28"/>
    <mergeCell ref="BG28:BI28"/>
    <mergeCell ref="BJ10:BK16"/>
    <mergeCell ref="BL10:BT10"/>
    <mergeCell ref="BL11:BT11"/>
    <mergeCell ref="BL12:BT12"/>
    <mergeCell ref="BL13:BT13"/>
    <mergeCell ref="BL14:BT14"/>
    <mergeCell ref="BL15:BT15"/>
    <mergeCell ref="BL16:BT16"/>
    <mergeCell ref="BD26:BF26"/>
    <mergeCell ref="BG26:BI26"/>
    <mergeCell ref="BD27:BF27"/>
    <mergeCell ref="BG27:BI27"/>
    <mergeCell ref="BD24:BF24"/>
    <mergeCell ref="BG24:BI24"/>
    <mergeCell ref="BD25:BF25"/>
    <mergeCell ref="BG25:BI25"/>
    <mergeCell ref="BD22:BF22"/>
    <mergeCell ref="BG22:BI22"/>
    <mergeCell ref="BD23:BF23"/>
    <mergeCell ref="BG23:BI23"/>
    <mergeCell ref="BD20:BF20"/>
    <mergeCell ref="BG20:BI20"/>
    <mergeCell ref="BD21:BF21"/>
    <mergeCell ref="BG21:BI21"/>
    <mergeCell ref="BD18:BF18"/>
    <mergeCell ref="BG18:BI18"/>
    <mergeCell ref="BD19:BF19"/>
    <mergeCell ref="BG19:BI19"/>
    <mergeCell ref="BD16:BF16"/>
    <mergeCell ref="BG16:BI16"/>
    <mergeCell ref="BD17:BF17"/>
    <mergeCell ref="BG17:BI17"/>
    <mergeCell ref="BD14:BF14"/>
    <mergeCell ref="BG14:BI14"/>
    <mergeCell ref="BD15:BF15"/>
    <mergeCell ref="BG15:BI15"/>
    <mergeCell ref="BD29:BF29"/>
    <mergeCell ref="BG29:BI29"/>
    <mergeCell ref="BD10:BF10"/>
    <mergeCell ref="BG10:BI10"/>
    <mergeCell ref="BD11:BF11"/>
    <mergeCell ref="BG11:BI11"/>
    <mergeCell ref="BD12:BF12"/>
    <mergeCell ref="BG12:BI12"/>
    <mergeCell ref="BD13:BF13"/>
    <mergeCell ref="BG13:BI13"/>
    <mergeCell ref="AS26:BC26"/>
    <mergeCell ref="AS27:BC27"/>
    <mergeCell ref="AS28:BC28"/>
    <mergeCell ref="AS29:BC29"/>
    <mergeCell ref="AS22:BC22"/>
    <mergeCell ref="AS23:BC23"/>
    <mergeCell ref="AS24:BC24"/>
    <mergeCell ref="AS25:BC25"/>
    <mergeCell ref="AS18:BC18"/>
    <mergeCell ref="AS19:BC19"/>
    <mergeCell ref="AS20:BC20"/>
    <mergeCell ref="AS21:BC21"/>
    <mergeCell ref="AS14:BC14"/>
    <mergeCell ref="AS15:BC15"/>
    <mergeCell ref="AS16:BC16"/>
    <mergeCell ref="AS17:BC17"/>
    <mergeCell ref="AS10:BC10"/>
    <mergeCell ref="AS11:BC11"/>
    <mergeCell ref="AS12:BC12"/>
    <mergeCell ref="AS13:BC13"/>
    <mergeCell ref="AI28:AK28"/>
    <mergeCell ref="AL28:AN28"/>
    <mergeCell ref="AO10:AR11"/>
    <mergeCell ref="AO12:AR13"/>
    <mergeCell ref="AO14:AR15"/>
    <mergeCell ref="AO16:AR17"/>
    <mergeCell ref="AO18:AR19"/>
    <mergeCell ref="AO20:AR21"/>
    <mergeCell ref="AI26:AK26"/>
    <mergeCell ref="AL26:AN26"/>
    <mergeCell ref="AI27:AK27"/>
    <mergeCell ref="AL27:AN27"/>
    <mergeCell ref="AI24:AK24"/>
    <mergeCell ref="AL24:AN24"/>
    <mergeCell ref="AI25:AK25"/>
    <mergeCell ref="AL25:AN25"/>
    <mergeCell ref="AI22:AK22"/>
    <mergeCell ref="AL22:AN22"/>
    <mergeCell ref="AI23:AK23"/>
    <mergeCell ref="AL23:AN23"/>
    <mergeCell ref="AI20:AK20"/>
    <mergeCell ref="AL20:AN20"/>
    <mergeCell ref="AI21:AK21"/>
    <mergeCell ref="AL21:AN21"/>
    <mergeCell ref="AI18:AK18"/>
    <mergeCell ref="AL18:AN18"/>
    <mergeCell ref="AI19:AK19"/>
    <mergeCell ref="AL19:AN19"/>
    <mergeCell ref="AI16:AK16"/>
    <mergeCell ref="AL16:AN16"/>
    <mergeCell ref="AI17:AK17"/>
    <mergeCell ref="AL17:AN17"/>
    <mergeCell ref="AI14:AK14"/>
    <mergeCell ref="AL14:AN14"/>
    <mergeCell ref="AI15:AK15"/>
    <mergeCell ref="AL15:AN15"/>
    <mergeCell ref="AI29:AK29"/>
    <mergeCell ref="AL29:AN29"/>
    <mergeCell ref="AI10:AK10"/>
    <mergeCell ref="AL10:AN10"/>
    <mergeCell ref="AI11:AK11"/>
    <mergeCell ref="AL11:AN11"/>
    <mergeCell ref="AI12:AK12"/>
    <mergeCell ref="AL12:AN12"/>
    <mergeCell ref="AI13:AK13"/>
    <mergeCell ref="AL13:AN13"/>
    <mergeCell ref="V26:AH26"/>
    <mergeCell ref="V27:AH27"/>
    <mergeCell ref="V28:AH28"/>
    <mergeCell ref="V29:AH29"/>
    <mergeCell ref="V22:AH22"/>
    <mergeCell ref="V23:AH23"/>
    <mergeCell ref="V24:AH24"/>
    <mergeCell ref="V25:AH25"/>
    <mergeCell ref="V18:AH18"/>
    <mergeCell ref="V19:AH19"/>
    <mergeCell ref="V20:AH20"/>
    <mergeCell ref="V21:AH21"/>
    <mergeCell ref="W10:AH10"/>
    <mergeCell ref="V11:AH11"/>
    <mergeCell ref="V12:AH12"/>
    <mergeCell ref="V13:AH13"/>
    <mergeCell ref="R10:V10"/>
    <mergeCell ref="R11:U17"/>
    <mergeCell ref="V14:AH14"/>
    <mergeCell ref="V15:AH15"/>
    <mergeCell ref="V16:AH16"/>
    <mergeCell ref="V17:AH17"/>
    <mergeCell ref="R28:U29"/>
    <mergeCell ref="R25:U27"/>
    <mergeCell ref="R19:U24"/>
    <mergeCell ref="R18:U18"/>
    <mergeCell ref="L28:N28"/>
    <mergeCell ref="O28:Q28"/>
    <mergeCell ref="L29:N29"/>
    <mergeCell ref="O29:Q29"/>
    <mergeCell ref="L26:N26"/>
    <mergeCell ref="O26:Q26"/>
    <mergeCell ref="L27:N27"/>
    <mergeCell ref="O27:Q27"/>
    <mergeCell ref="L24:N24"/>
    <mergeCell ref="O24:Q24"/>
    <mergeCell ref="L25:N25"/>
    <mergeCell ref="O25:Q25"/>
    <mergeCell ref="L22:N22"/>
    <mergeCell ref="O22:Q22"/>
    <mergeCell ref="L23:N23"/>
    <mergeCell ref="O23:Q23"/>
    <mergeCell ref="L20:N20"/>
    <mergeCell ref="O20:Q20"/>
    <mergeCell ref="L21:N21"/>
    <mergeCell ref="O21:Q21"/>
    <mergeCell ref="L18:N18"/>
    <mergeCell ref="O18:Q18"/>
    <mergeCell ref="L19:N19"/>
    <mergeCell ref="O19:Q19"/>
    <mergeCell ref="L16:N16"/>
    <mergeCell ref="O16:Q16"/>
    <mergeCell ref="L17:N17"/>
    <mergeCell ref="O17:Q17"/>
    <mergeCell ref="L14:N14"/>
    <mergeCell ref="O14:Q14"/>
    <mergeCell ref="L15:N15"/>
    <mergeCell ref="O15:Q15"/>
    <mergeCell ref="F28:K28"/>
    <mergeCell ref="F29:K29"/>
    <mergeCell ref="L10:N10"/>
    <mergeCell ref="O10:Q10"/>
    <mergeCell ref="L11:N11"/>
    <mergeCell ref="O11:Q11"/>
    <mergeCell ref="L12:N12"/>
    <mergeCell ref="O12:Q12"/>
    <mergeCell ref="L13:N13"/>
    <mergeCell ref="O13:Q13"/>
    <mergeCell ref="E24:K24"/>
    <mergeCell ref="E25:K25"/>
    <mergeCell ref="A26:K26"/>
    <mergeCell ref="F27:K27"/>
    <mergeCell ref="E20:K20"/>
    <mergeCell ref="E21:K21"/>
    <mergeCell ref="E22:K22"/>
    <mergeCell ref="E23:K23"/>
    <mergeCell ref="E16:K16"/>
    <mergeCell ref="E17:K17"/>
    <mergeCell ref="E18:K18"/>
    <mergeCell ref="E19:K19"/>
    <mergeCell ref="E12:K12"/>
    <mergeCell ref="E13:K13"/>
    <mergeCell ref="E14:K14"/>
    <mergeCell ref="E15:K15"/>
    <mergeCell ref="A10:D11"/>
    <mergeCell ref="A12:D13"/>
    <mergeCell ref="A29:E29"/>
    <mergeCell ref="A27:E28"/>
    <mergeCell ref="A24:D25"/>
    <mergeCell ref="A22:D23"/>
    <mergeCell ref="A20:D21"/>
    <mergeCell ref="A14:D19"/>
    <mergeCell ref="E10:K10"/>
    <mergeCell ref="E11:K11"/>
    <mergeCell ref="BD9:BF9"/>
    <mergeCell ref="BG9:BI9"/>
    <mergeCell ref="BU9:BW9"/>
    <mergeCell ref="BX9:BZ9"/>
    <mergeCell ref="BJ9:BT9"/>
    <mergeCell ref="BR6:BZ6"/>
    <mergeCell ref="A9:K9"/>
    <mergeCell ref="L9:N9"/>
    <mergeCell ref="O9:Q9"/>
    <mergeCell ref="R9:AH9"/>
    <mergeCell ref="AI9:AK9"/>
    <mergeCell ref="AL9:AN9"/>
    <mergeCell ref="AO9:BC9"/>
    <mergeCell ref="AK6:AV6"/>
    <mergeCell ref="AW6:BH6"/>
    <mergeCell ref="BI6:BQ6"/>
    <mergeCell ref="AK7:AV8"/>
    <mergeCell ref="AW7:BH8"/>
    <mergeCell ref="S6:AA6"/>
    <mergeCell ref="AB6:AJ6"/>
    <mergeCell ref="A6:I6"/>
    <mergeCell ref="J6:R6"/>
    <mergeCell ref="AI7:AJ8"/>
    <mergeCell ref="AB7:AH8"/>
  </mergeCells>
  <printOptions/>
  <pageMargins left="0.3937007874015748" right="0.3937007874015748" top="0.7874015748031497" bottom="0.5905511811023623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7"/>
  <dimension ref="B2:B62"/>
  <sheetViews>
    <sheetView workbookViewId="0" topLeftCell="A28">
      <selection activeCell="B40" sqref="B40"/>
    </sheetView>
  </sheetViews>
  <sheetFormatPr defaultColWidth="9.00390625" defaultRowHeight="13.5"/>
  <cols>
    <col min="2" max="2" width="75.00390625" style="0" customWidth="1"/>
  </cols>
  <sheetData>
    <row r="2" ht="12.75">
      <c r="B2" s="9" t="s">
        <v>318</v>
      </c>
    </row>
    <row r="3" ht="12.75">
      <c r="B3" s="9" t="s">
        <v>319</v>
      </c>
    </row>
    <row r="4" ht="12.75">
      <c r="B4" s="9" t="s">
        <v>320</v>
      </c>
    </row>
    <row r="5" ht="12.75">
      <c r="B5" s="9" t="s">
        <v>321</v>
      </c>
    </row>
    <row r="6" ht="12.75">
      <c r="B6" s="9" t="s">
        <v>322</v>
      </c>
    </row>
    <row r="7" ht="12.75">
      <c r="B7" s="9" t="s">
        <v>323</v>
      </c>
    </row>
    <row r="8" ht="12.75">
      <c r="B8" s="9" t="s">
        <v>324</v>
      </c>
    </row>
    <row r="9" ht="12.75">
      <c r="B9" s="9" t="s">
        <v>325</v>
      </c>
    </row>
    <row r="10" ht="12.75">
      <c r="B10" s="9" t="s">
        <v>326</v>
      </c>
    </row>
    <row r="11" ht="12.75">
      <c r="B11" s="9" t="s">
        <v>327</v>
      </c>
    </row>
    <row r="12" ht="12.75">
      <c r="B12" s="9" t="s">
        <v>328</v>
      </c>
    </row>
    <row r="13" ht="12.75">
      <c r="B13" s="9" t="s">
        <v>329</v>
      </c>
    </row>
    <row r="14" ht="12.75">
      <c r="B14" s="9" t="s">
        <v>330</v>
      </c>
    </row>
    <row r="15" ht="12.75">
      <c r="B15" s="9" t="s">
        <v>331</v>
      </c>
    </row>
    <row r="16" ht="12.75">
      <c r="B16" s="9" t="s">
        <v>332</v>
      </c>
    </row>
    <row r="18" ht="12.75">
      <c r="B18" s="9" t="s">
        <v>333</v>
      </c>
    </row>
    <row r="20" ht="12.75">
      <c r="B20" s="9" t="s">
        <v>334</v>
      </c>
    </row>
    <row r="22" ht="12.75">
      <c r="B22" s="9" t="s">
        <v>335</v>
      </c>
    </row>
    <row r="24" ht="12.75">
      <c r="B24" s="9" t="s">
        <v>336</v>
      </c>
    </row>
    <row r="26" ht="12.75">
      <c r="B26" s="9" t="s">
        <v>337</v>
      </c>
    </row>
    <row r="29" ht="12.75">
      <c r="B29" s="9" t="s">
        <v>338</v>
      </c>
    </row>
    <row r="31" ht="12.75">
      <c r="B31" s="9" t="s">
        <v>339</v>
      </c>
    </row>
    <row r="33" ht="12.75">
      <c r="B33" s="9" t="s">
        <v>340</v>
      </c>
    </row>
    <row r="36" ht="12.75">
      <c r="B36" s="9" t="s">
        <v>341</v>
      </c>
    </row>
    <row r="38" ht="12.75">
      <c r="B38" s="9" t="s">
        <v>342</v>
      </c>
    </row>
    <row r="40" ht="12.75">
      <c r="B40" s="9" t="s">
        <v>343</v>
      </c>
    </row>
    <row r="43" ht="12.75">
      <c r="B43" s="9" t="s">
        <v>344</v>
      </c>
    </row>
    <row r="45" ht="12.75">
      <c r="B45" s="9" t="s">
        <v>345</v>
      </c>
    </row>
    <row r="47" ht="12.75">
      <c r="B47" s="9" t="s">
        <v>346</v>
      </c>
    </row>
    <row r="49" ht="12.75">
      <c r="B49" s="9" t="s">
        <v>347</v>
      </c>
    </row>
    <row r="51" ht="12.75">
      <c r="B51" s="9" t="s">
        <v>348</v>
      </c>
    </row>
    <row r="54" ht="12.75">
      <c r="B54" s="9" t="s">
        <v>349</v>
      </c>
    </row>
    <row r="56" ht="12.75">
      <c r="B56" s="9" t="s">
        <v>350</v>
      </c>
    </row>
    <row r="58" ht="12.75">
      <c r="B58" s="9" t="s">
        <v>351</v>
      </c>
    </row>
    <row r="60" ht="12.75">
      <c r="B60" s="9" t="s">
        <v>352</v>
      </c>
    </row>
    <row r="62" ht="12.75">
      <c r="B62" s="9" t="s">
        <v>353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CT38"/>
  <sheetViews>
    <sheetView zoomScale="85" zoomScaleNormal="85" workbookViewId="0" topLeftCell="A18">
      <selection activeCell="AZ25" sqref="AZ25"/>
    </sheetView>
  </sheetViews>
  <sheetFormatPr defaultColWidth="8.625" defaultRowHeight="13.5"/>
  <cols>
    <col min="1" max="1" width="5.00390625" style="0" customWidth="1"/>
    <col min="2" max="21" width="2.875" style="0" customWidth="1"/>
    <col min="22" max="24" width="2.875" style="7" customWidth="1"/>
    <col min="25" max="50" width="2.875" style="0" customWidth="1"/>
    <col min="51" max="57" width="10.00390625" style="0" customWidth="1"/>
    <col min="58" max="60" width="12.50390625" style="124" customWidth="1"/>
    <col min="61" max="61" width="12.50390625" style="110" customWidth="1"/>
    <col min="62" max="16384" width="1.75390625" style="0" customWidth="1"/>
  </cols>
  <sheetData>
    <row r="1" spans="2:50" ht="21" customHeight="1"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</row>
    <row r="2" spans="2:50" ht="24" customHeight="1">
      <c r="B2" s="475" t="s">
        <v>169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</row>
    <row r="3" spans="2:50" ht="21" customHeight="1">
      <c r="B3" s="458" t="s">
        <v>44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AX3" s="458"/>
    </row>
    <row r="4" spans="2:50" ht="21" customHeight="1" thickBot="1"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</row>
    <row r="5" spans="2:50" ht="24" customHeight="1" thickBot="1">
      <c r="B5" s="463" t="s">
        <v>84</v>
      </c>
      <c r="C5" s="464"/>
      <c r="D5" s="464"/>
      <c r="E5" s="465"/>
      <c r="F5" s="472" t="s">
        <v>216</v>
      </c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4"/>
      <c r="U5" s="471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</row>
    <row r="6" spans="2:50" ht="21" customHeight="1"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</row>
    <row r="7" spans="2:50" ht="30" customHeight="1">
      <c r="B7" s="462" t="str">
        <f>IF(BG15&lt;&gt;0,F5&amp;" 精 度 管 理 表",BF9)</f>
        <v>1 級 基 準 点 測 量 精 度 管 理 表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</row>
    <row r="8" spans="2:50" ht="18.75" customHeight="1">
      <c r="B8" s="461" t="s">
        <v>110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</row>
    <row r="9" spans="1:60" ht="30" customHeight="1">
      <c r="A9" s="4"/>
      <c r="B9" s="369" t="s">
        <v>45</v>
      </c>
      <c r="C9" s="370"/>
      <c r="D9" s="371"/>
      <c r="E9" s="459"/>
      <c r="F9" s="459"/>
      <c r="G9" s="459"/>
      <c r="H9" s="459"/>
      <c r="I9" s="459"/>
      <c r="J9" s="459"/>
      <c r="K9" s="459"/>
      <c r="L9" s="460"/>
      <c r="M9" s="370" t="s">
        <v>145</v>
      </c>
      <c r="N9" s="370"/>
      <c r="O9" s="370"/>
      <c r="P9" s="467"/>
      <c r="Q9" s="468"/>
      <c r="R9" s="468"/>
      <c r="S9" s="468"/>
      <c r="T9" s="468"/>
      <c r="U9" s="468"/>
      <c r="V9" s="469"/>
      <c r="W9" s="370" t="s">
        <v>126</v>
      </c>
      <c r="X9" s="370"/>
      <c r="Y9" s="370"/>
      <c r="Z9" s="467"/>
      <c r="AA9" s="468"/>
      <c r="AB9" s="468"/>
      <c r="AC9" s="468"/>
      <c r="AD9" s="468"/>
      <c r="AE9" s="468"/>
      <c r="AF9" s="469"/>
      <c r="AG9" s="369" t="s">
        <v>170</v>
      </c>
      <c r="AH9" s="370"/>
      <c r="AI9" s="371"/>
      <c r="AJ9" s="468"/>
      <c r="AK9" s="468"/>
      <c r="AL9" s="468"/>
      <c r="AM9" s="468"/>
      <c r="AN9" s="468"/>
      <c r="AO9" s="468"/>
      <c r="AP9" s="369" t="s">
        <v>48</v>
      </c>
      <c r="AQ9" s="370"/>
      <c r="AR9" s="371"/>
      <c r="AS9" s="466"/>
      <c r="AT9" s="459"/>
      <c r="AU9" s="459"/>
      <c r="AV9" s="459"/>
      <c r="AW9" s="459"/>
      <c r="AX9" s="140" t="s">
        <v>125</v>
      </c>
      <c r="BF9" s="125" t="s">
        <v>122</v>
      </c>
      <c r="BG9" s="91" t="s">
        <v>213</v>
      </c>
      <c r="BH9" s="91" t="s">
        <v>214</v>
      </c>
    </row>
    <row r="10" spans="1:60" ht="30" customHeight="1">
      <c r="A10" s="9"/>
      <c r="B10" s="369" t="s">
        <v>88</v>
      </c>
      <c r="C10" s="370"/>
      <c r="D10" s="371"/>
      <c r="E10" s="476"/>
      <c r="F10" s="476"/>
      <c r="G10" s="476"/>
      <c r="H10" s="476"/>
      <c r="I10" s="476"/>
      <c r="J10" s="476"/>
      <c r="K10" s="476"/>
      <c r="L10" s="477"/>
      <c r="M10" s="370" t="s">
        <v>146</v>
      </c>
      <c r="N10" s="370"/>
      <c r="O10" s="370"/>
      <c r="P10" s="467"/>
      <c r="Q10" s="468"/>
      <c r="R10" s="468"/>
      <c r="S10" s="468"/>
      <c r="T10" s="468"/>
      <c r="U10" s="468"/>
      <c r="V10" s="469"/>
      <c r="W10" s="370" t="s">
        <v>104</v>
      </c>
      <c r="X10" s="370"/>
      <c r="Y10" s="370"/>
      <c r="Z10" s="467"/>
      <c r="AA10" s="468"/>
      <c r="AB10" s="468"/>
      <c r="AC10" s="468"/>
      <c r="AD10" s="468"/>
      <c r="AE10" s="468"/>
      <c r="AF10" s="469"/>
      <c r="AG10" s="369" t="s">
        <v>51</v>
      </c>
      <c r="AH10" s="370"/>
      <c r="AI10" s="371"/>
      <c r="AJ10" s="478"/>
      <c r="AK10" s="479"/>
      <c r="AL10" s="479"/>
      <c r="AM10" s="479"/>
      <c r="AN10" s="479"/>
      <c r="AO10" s="139" t="s">
        <v>125</v>
      </c>
      <c r="AP10" s="369" t="s">
        <v>52</v>
      </c>
      <c r="AQ10" s="370"/>
      <c r="AR10" s="371"/>
      <c r="AS10" s="459"/>
      <c r="AT10" s="459"/>
      <c r="AU10" s="459"/>
      <c r="AV10" s="459"/>
      <c r="AW10" s="459"/>
      <c r="AX10" s="460"/>
      <c r="BD10" s="101" t="s">
        <v>275</v>
      </c>
      <c r="BF10" s="126" t="s">
        <v>216</v>
      </c>
      <c r="BG10" s="92">
        <v>10</v>
      </c>
      <c r="BH10" s="92">
        <v>12</v>
      </c>
    </row>
    <row r="11" spans="1:60" ht="12" customHeight="1">
      <c r="A11" s="9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BD11" s="103" t="s">
        <v>276</v>
      </c>
      <c r="BF11" s="126" t="s">
        <v>217</v>
      </c>
      <c r="BG11" s="92">
        <v>12</v>
      </c>
      <c r="BH11" s="92">
        <v>15</v>
      </c>
    </row>
    <row r="12" spans="1:96" s="9" customFormat="1" ht="18" customHeight="1">
      <c r="A12" s="4"/>
      <c r="B12" s="323" t="s">
        <v>149</v>
      </c>
      <c r="C12" s="317"/>
      <c r="D12" s="317"/>
      <c r="E12" s="324"/>
      <c r="F12" s="317" t="s">
        <v>150</v>
      </c>
      <c r="G12" s="317"/>
      <c r="H12" s="317"/>
      <c r="I12" s="324"/>
      <c r="J12" s="315" t="s">
        <v>151</v>
      </c>
      <c r="K12" s="312"/>
      <c r="L12" s="313"/>
      <c r="M12" s="323" t="s">
        <v>152</v>
      </c>
      <c r="N12" s="324"/>
      <c r="O12" s="323" t="s">
        <v>153</v>
      </c>
      <c r="P12" s="324"/>
      <c r="Q12" s="369" t="s">
        <v>154</v>
      </c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1"/>
      <c r="AC12" s="323" t="s">
        <v>155</v>
      </c>
      <c r="AD12" s="317"/>
      <c r="AE12" s="324"/>
      <c r="AF12" s="323" t="s">
        <v>156</v>
      </c>
      <c r="AG12" s="324"/>
      <c r="AH12" s="369" t="s">
        <v>157</v>
      </c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1"/>
      <c r="AT12" s="386" t="s">
        <v>171</v>
      </c>
      <c r="AU12" s="387"/>
      <c r="AV12" s="387"/>
      <c r="AW12" s="387"/>
      <c r="AX12" s="388"/>
      <c r="AY12"/>
      <c r="AZ12"/>
      <c r="BA12"/>
      <c r="BB12"/>
      <c r="BC12"/>
      <c r="BD12" s="103" t="s">
        <v>277</v>
      </c>
      <c r="BE12" s="1"/>
      <c r="BF12" s="126" t="s">
        <v>218</v>
      </c>
      <c r="BG12" s="92">
        <v>15</v>
      </c>
      <c r="BH12" s="92">
        <v>20</v>
      </c>
      <c r="BI12" s="110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</row>
    <row r="13" spans="1:98" s="9" customFormat="1" ht="18" customHeight="1">
      <c r="A13" s="4"/>
      <c r="B13" s="322"/>
      <c r="C13" s="318"/>
      <c r="D13" s="318"/>
      <c r="E13" s="320"/>
      <c r="F13" s="318"/>
      <c r="G13" s="318"/>
      <c r="H13" s="318"/>
      <c r="I13" s="320"/>
      <c r="J13" s="311"/>
      <c r="K13" s="309"/>
      <c r="L13" s="310"/>
      <c r="M13" s="322"/>
      <c r="N13" s="320"/>
      <c r="O13" s="322"/>
      <c r="P13" s="320"/>
      <c r="Q13" s="369" t="s">
        <v>159</v>
      </c>
      <c r="R13" s="370"/>
      <c r="S13" s="370"/>
      <c r="T13" s="370"/>
      <c r="U13" s="370"/>
      <c r="V13" s="371"/>
      <c r="W13" s="369" t="s">
        <v>62</v>
      </c>
      <c r="X13" s="370"/>
      <c r="Y13" s="370"/>
      <c r="Z13" s="370"/>
      <c r="AA13" s="370"/>
      <c r="AB13" s="371"/>
      <c r="AC13" s="322"/>
      <c r="AD13" s="318"/>
      <c r="AE13" s="320"/>
      <c r="AF13" s="322"/>
      <c r="AG13" s="320"/>
      <c r="AH13" s="315" t="s">
        <v>210</v>
      </c>
      <c r="AI13" s="397"/>
      <c r="AJ13" s="398"/>
      <c r="AK13" s="323" t="s">
        <v>173</v>
      </c>
      <c r="AL13" s="317"/>
      <c r="AM13" s="324"/>
      <c r="AN13" s="315" t="s">
        <v>211</v>
      </c>
      <c r="AO13" s="312"/>
      <c r="AP13" s="313"/>
      <c r="AQ13" s="318" t="s">
        <v>173</v>
      </c>
      <c r="AR13" s="318"/>
      <c r="AS13" s="320"/>
      <c r="AT13" s="389"/>
      <c r="AU13" s="390"/>
      <c r="AV13" s="390"/>
      <c r="AW13" s="390"/>
      <c r="AX13" s="391"/>
      <c r="AY13"/>
      <c r="AZ13"/>
      <c r="BA13"/>
      <c r="BB13"/>
      <c r="BC13"/>
      <c r="BD13" s="102" t="s">
        <v>279</v>
      </c>
      <c r="BE13" s="1"/>
      <c r="BF13" s="134" t="s">
        <v>219</v>
      </c>
      <c r="BG13" s="93">
        <v>20</v>
      </c>
      <c r="BH13" s="93">
        <v>30</v>
      </c>
      <c r="BI13" s="110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</row>
    <row r="14" spans="1:60" ht="18" customHeight="1">
      <c r="A14" s="4"/>
      <c r="B14" s="321"/>
      <c r="C14" s="314"/>
      <c r="D14" s="314"/>
      <c r="E14" s="319"/>
      <c r="F14" s="314"/>
      <c r="G14" s="314"/>
      <c r="H14" s="314"/>
      <c r="I14" s="319"/>
      <c r="J14" s="308"/>
      <c r="K14" s="374"/>
      <c r="L14" s="375"/>
      <c r="M14" s="321"/>
      <c r="N14" s="319"/>
      <c r="O14" s="321"/>
      <c r="P14" s="319"/>
      <c r="Q14" s="369" t="s">
        <v>163</v>
      </c>
      <c r="R14" s="370"/>
      <c r="S14" s="371"/>
      <c r="T14" s="323" t="s">
        <v>173</v>
      </c>
      <c r="U14" s="317"/>
      <c r="V14" s="324"/>
      <c r="W14" s="369" t="s">
        <v>163</v>
      </c>
      <c r="X14" s="370"/>
      <c r="Y14" s="371"/>
      <c r="Z14" s="314" t="s">
        <v>173</v>
      </c>
      <c r="AA14" s="314"/>
      <c r="AB14" s="319"/>
      <c r="AC14" s="321"/>
      <c r="AD14" s="314"/>
      <c r="AE14" s="319"/>
      <c r="AF14" s="321"/>
      <c r="AG14" s="319"/>
      <c r="AH14" s="399"/>
      <c r="AI14" s="400"/>
      <c r="AJ14" s="401"/>
      <c r="AK14" s="321"/>
      <c r="AL14" s="314"/>
      <c r="AM14" s="319"/>
      <c r="AN14" s="308"/>
      <c r="AO14" s="374"/>
      <c r="AP14" s="375"/>
      <c r="AQ14" s="314"/>
      <c r="AR14" s="314"/>
      <c r="AS14" s="319"/>
      <c r="AT14" s="392"/>
      <c r="AU14" s="393"/>
      <c r="AV14" s="393"/>
      <c r="AW14" s="393"/>
      <c r="AX14" s="394"/>
      <c r="BG14" s="90"/>
      <c r="BH14" s="110"/>
    </row>
    <row r="15" spans="1:60" ht="15.75" customHeight="1">
      <c r="A15" s="4"/>
      <c r="B15" s="376">
        <v>1</v>
      </c>
      <c r="C15" s="377"/>
      <c r="D15" s="377"/>
      <c r="E15" s="378"/>
      <c r="F15" s="376">
        <v>11</v>
      </c>
      <c r="G15" s="377"/>
      <c r="H15" s="377"/>
      <c r="I15" s="378"/>
      <c r="J15" s="383">
        <v>1</v>
      </c>
      <c r="K15" s="384"/>
      <c r="L15" s="385"/>
      <c r="M15" s="376">
        <v>11</v>
      </c>
      <c r="N15" s="378"/>
      <c r="O15" s="376">
        <v>1</v>
      </c>
      <c r="P15" s="378"/>
      <c r="Q15" s="383">
        <v>0.1</v>
      </c>
      <c r="R15" s="384"/>
      <c r="S15" s="384"/>
      <c r="T15" s="411">
        <f aca="true" t="shared" si="0" ref="T15:T23">IF($BH15=5,"",IF($BH15&lt;&gt;0,INDEX($BD$10:$BD$13,$BH15,1),IF($BH15=0,INDEX($BF$28:$BF$31,$BG$15,1)+ROUND(INDEX($BG$28:$BG$31,$BG$15,1)*J15*(O15^0.5),3),ROUND(INDEX($BF$34:$BF$37,$BG$15,1)*J15*(O15^0.5),3))))</f>
        <v>0.12000000000000001</v>
      </c>
      <c r="U15" s="408"/>
      <c r="V15" s="409"/>
      <c r="W15" s="384">
        <v>0.01</v>
      </c>
      <c r="X15" s="384"/>
      <c r="Y15" s="385"/>
      <c r="Z15" s="408">
        <f aca="true" t="shared" si="1" ref="Z15:Z23">IF($BH15=5,"",IF($BH15&lt;&gt;0,INDEX($BD$10:$BD$13,$BH15,1),IF($BH15=0,ROUND($BH$27+INDEX($BH$28:$BH$31,$BG$15,1)*J15/O15^0.5,3),ROUND(INDEX($BH$28:$BH$31,$BG$15,1)*J15/O15^0.5,3))))</f>
        <v>0.25</v>
      </c>
      <c r="AA15" s="408"/>
      <c r="AB15" s="409"/>
      <c r="AC15" s="383"/>
      <c r="AD15" s="384"/>
      <c r="AE15" s="385"/>
      <c r="AF15" s="406"/>
      <c r="AG15" s="407"/>
      <c r="AH15" s="402">
        <v>10</v>
      </c>
      <c r="AI15" s="402"/>
      <c r="AJ15" s="403"/>
      <c r="AK15" s="410">
        <f aca="true" t="shared" si="2" ref="AK15:AK23">IF($BH15=5,"",IF($AH15="","",IF($BG$15=0,"等級を選択",INDEX($BG$10:$BG$13,$BG$15,1))))</f>
        <v>10</v>
      </c>
      <c r="AL15" s="404"/>
      <c r="AM15" s="405"/>
      <c r="AN15" s="402">
        <v>10</v>
      </c>
      <c r="AO15" s="402"/>
      <c r="AP15" s="403"/>
      <c r="AQ15" s="404">
        <f aca="true" t="shared" si="3" ref="AQ15:AQ23">IF($BH15=5,"",IF($AN15="","",IF($BG$15=0,"等級を選択",INDEX($BH$10:$BH$13,$BG$15,1))))</f>
        <v>12</v>
      </c>
      <c r="AR15" s="404"/>
      <c r="AS15" s="405"/>
      <c r="AT15" s="376" t="s">
        <v>220</v>
      </c>
      <c r="AU15" s="377"/>
      <c r="AV15" s="377"/>
      <c r="AW15" s="377"/>
      <c r="AX15" s="378"/>
      <c r="BA15" s="151">
        <f>IF(LEFT(O29,1)="-",SUBSTITUTE(O29,"-","")/10000*(-1),SUBSTITUTE(O29,"-","")/10000)</f>
        <v>11.111</v>
      </c>
      <c r="BB15" s="98">
        <f>IF(LEFT(S29,1)="-",SUBSTITUTE(S29,"-","")/10000*(-1),SUBSTITUTE(S29,"-","")/10000)</f>
        <v>10.101</v>
      </c>
      <c r="BC15" s="36">
        <f aca="true" t="shared" si="4" ref="BC15:BC23">SIGN(BA15)*(TRUNC(ABS(BA15))+(TRUNC((ABS(BA15)*100-TRUNC(ABS(BA15))*100)+0.01)/60)+((ABS(BA15)*10000-TRUNC(ABS(BA15)*100)*100)/60/60))-IF(ABS(BA15)&gt;180,360,0)</f>
        <v>11.186111111111112</v>
      </c>
      <c r="BD15" s="98">
        <f aca="true" t="shared" si="5" ref="BD15:BD23">SIGN(BB15)*(TRUNC(ABS(BB15))+(TRUNC((ABS(BB15)*100-TRUNC(ABS(BB15))*100)+0.01)/60)+((ABS(BB15)*10000-TRUNC(ABS(BB15)*100)*100)/60/60))-IF(ABS(BB15)&gt;180,360,0)</f>
        <v>10.169444444444448</v>
      </c>
      <c r="BE15" s="98">
        <f>(BD15-BC15)*3600</f>
        <v>-3659.99999999999</v>
      </c>
      <c r="BF15" s="127">
        <f aca="true" t="shared" si="6" ref="BF15:BF23">IF(AT15=$BG$20,0,IF(AT15=$BG$21,1,IF(AT15=$BG$22,2,3)))</f>
        <v>1</v>
      </c>
      <c r="BG15" s="76">
        <f>IF(F5=BF9,0,IF(F5=BF10,1,IF(F5=BF11,2,IF(F5=BF12,3,IF(F5=BF13,4,"")))))</f>
        <v>1</v>
      </c>
      <c r="BH15" s="101">
        <f aca="true" t="shared" si="7" ref="BH15:BH23">IF(OR($B15="",$F15=""),5,IF($BG$15=0,1,IF($J15="",2,IF($O15="",3,IF($BF15=0,4,0)))))</f>
        <v>0</v>
      </c>
    </row>
    <row r="16" spans="1:60" ht="15.75" customHeight="1">
      <c r="A16" s="4"/>
      <c r="B16" s="372">
        <v>2</v>
      </c>
      <c r="C16" s="373"/>
      <c r="D16" s="373"/>
      <c r="E16" s="349"/>
      <c r="F16" s="372">
        <v>22</v>
      </c>
      <c r="G16" s="373"/>
      <c r="H16" s="373"/>
      <c r="I16" s="349"/>
      <c r="J16" s="379">
        <v>2</v>
      </c>
      <c r="K16" s="332"/>
      <c r="L16" s="330"/>
      <c r="M16" s="372">
        <v>12</v>
      </c>
      <c r="N16" s="349"/>
      <c r="O16" s="372">
        <v>100</v>
      </c>
      <c r="P16" s="349"/>
      <c r="Q16" s="379">
        <v>0.2</v>
      </c>
      <c r="R16" s="332"/>
      <c r="S16" s="332"/>
      <c r="T16" s="380">
        <f t="shared" si="0"/>
        <v>0.5</v>
      </c>
      <c r="U16" s="381"/>
      <c r="V16" s="382"/>
      <c r="W16" s="332">
        <v>0.02</v>
      </c>
      <c r="X16" s="332"/>
      <c r="Y16" s="330"/>
      <c r="Z16" s="380">
        <f t="shared" si="1"/>
        <v>0.21</v>
      </c>
      <c r="AA16" s="381"/>
      <c r="AB16" s="382"/>
      <c r="AC16" s="379"/>
      <c r="AD16" s="332"/>
      <c r="AE16" s="330"/>
      <c r="AF16" s="395" t="s">
        <v>286</v>
      </c>
      <c r="AG16" s="396"/>
      <c r="AH16" s="348">
        <v>12</v>
      </c>
      <c r="AI16" s="348"/>
      <c r="AJ16" s="342"/>
      <c r="AK16" s="343">
        <f t="shared" si="2"/>
        <v>10</v>
      </c>
      <c r="AL16" s="344"/>
      <c r="AM16" s="340"/>
      <c r="AN16" s="348">
        <v>11</v>
      </c>
      <c r="AO16" s="348"/>
      <c r="AP16" s="342"/>
      <c r="AQ16" s="343">
        <f t="shared" si="3"/>
        <v>12</v>
      </c>
      <c r="AR16" s="344"/>
      <c r="AS16" s="340"/>
      <c r="AT16" s="372" t="s">
        <v>167</v>
      </c>
      <c r="AU16" s="373"/>
      <c r="AV16" s="373"/>
      <c r="AW16" s="373"/>
      <c r="AX16" s="349"/>
      <c r="BA16" s="122">
        <f aca="true" t="shared" si="8" ref="BA16:BA23">IF(LEFT(O30,1)="-",SUBSTITUTE(O30,"-","")/10000*(-1),SUBSTITUTE(O30,"-","")/10000)</f>
        <v>-20.212</v>
      </c>
      <c r="BB16" s="99">
        <f aca="true" t="shared" si="9" ref="BB16:BB23">IF(LEFT(S30,1)="-",SUBSTITUTE(S30,"-","")/10000*(-1),SUBSTITUTE(S30,"-","")/10000)</f>
        <v>-20.202</v>
      </c>
      <c r="BC16" s="1">
        <f t="shared" si="4"/>
        <v>-20.355555555555558</v>
      </c>
      <c r="BD16" s="99">
        <f t="shared" si="5"/>
        <v>-20.338888888888896</v>
      </c>
      <c r="BE16" s="99">
        <f aca="true" t="shared" si="10" ref="BE16:BE23">(BD16-BC16)*3600</f>
        <v>59.9999999999838</v>
      </c>
      <c r="BF16" s="108">
        <f t="shared" si="6"/>
        <v>2</v>
      </c>
      <c r="BH16" s="103">
        <f t="shared" si="7"/>
        <v>0</v>
      </c>
    </row>
    <row r="17" spans="1:60" ht="15.75" customHeight="1">
      <c r="A17" s="4"/>
      <c r="B17" s="372">
        <v>3</v>
      </c>
      <c r="C17" s="373"/>
      <c r="D17" s="373"/>
      <c r="E17" s="349"/>
      <c r="F17" s="372">
        <v>33</v>
      </c>
      <c r="G17" s="373"/>
      <c r="H17" s="373"/>
      <c r="I17" s="349"/>
      <c r="J17" s="379">
        <v>3</v>
      </c>
      <c r="K17" s="332"/>
      <c r="L17" s="330"/>
      <c r="M17" s="372">
        <v>13</v>
      </c>
      <c r="N17" s="349"/>
      <c r="O17" s="372">
        <v>12</v>
      </c>
      <c r="P17" s="349"/>
      <c r="Q17" s="379">
        <v>0.3</v>
      </c>
      <c r="R17" s="332"/>
      <c r="S17" s="332"/>
      <c r="T17" s="380">
        <f t="shared" si="0"/>
        <v>0.308</v>
      </c>
      <c r="U17" s="381"/>
      <c r="V17" s="382"/>
      <c r="W17" s="332">
        <v>0.03</v>
      </c>
      <c r="X17" s="332"/>
      <c r="Y17" s="330"/>
      <c r="Z17" s="380">
        <f t="shared" si="1"/>
        <v>0.243</v>
      </c>
      <c r="AA17" s="381"/>
      <c r="AB17" s="382"/>
      <c r="AC17" s="379"/>
      <c r="AD17" s="332"/>
      <c r="AE17" s="330"/>
      <c r="AF17" s="395" t="s">
        <v>284</v>
      </c>
      <c r="AG17" s="396"/>
      <c r="AH17" s="348">
        <v>13</v>
      </c>
      <c r="AI17" s="348"/>
      <c r="AJ17" s="342"/>
      <c r="AK17" s="343">
        <f t="shared" si="2"/>
        <v>10</v>
      </c>
      <c r="AL17" s="344"/>
      <c r="AM17" s="340"/>
      <c r="AN17" s="348">
        <v>12</v>
      </c>
      <c r="AO17" s="348"/>
      <c r="AP17" s="342"/>
      <c r="AQ17" s="343">
        <f t="shared" si="3"/>
        <v>12</v>
      </c>
      <c r="AR17" s="344"/>
      <c r="AS17" s="340"/>
      <c r="AT17" s="372" t="s">
        <v>168</v>
      </c>
      <c r="AU17" s="373"/>
      <c r="AV17" s="373"/>
      <c r="AW17" s="373"/>
      <c r="AX17" s="349"/>
      <c r="BA17" s="122">
        <f t="shared" si="8"/>
        <v>30.303</v>
      </c>
      <c r="BB17" s="99">
        <f t="shared" si="9"/>
        <v>30.3003</v>
      </c>
      <c r="BC17" s="1">
        <f t="shared" si="4"/>
        <v>30.508333333333333</v>
      </c>
      <c r="BD17" s="99">
        <f t="shared" si="5"/>
        <v>30.500833333333333</v>
      </c>
      <c r="BE17" s="99">
        <f t="shared" si="10"/>
        <v>-27.000000000001023</v>
      </c>
      <c r="BF17" s="108">
        <f t="shared" si="6"/>
        <v>3</v>
      </c>
      <c r="BG17" s="13"/>
      <c r="BH17" s="103">
        <f t="shared" si="7"/>
        <v>0</v>
      </c>
    </row>
    <row r="18" spans="1:60" ht="15.75" customHeight="1">
      <c r="A18" s="4"/>
      <c r="B18" s="372">
        <v>4</v>
      </c>
      <c r="C18" s="373"/>
      <c r="D18" s="373"/>
      <c r="E18" s="349"/>
      <c r="F18" s="372">
        <v>44</v>
      </c>
      <c r="G18" s="373"/>
      <c r="H18" s="373"/>
      <c r="I18" s="349"/>
      <c r="J18" s="379">
        <v>4</v>
      </c>
      <c r="K18" s="332"/>
      <c r="L18" s="330"/>
      <c r="M18" s="372">
        <v>14</v>
      </c>
      <c r="N18" s="349"/>
      <c r="O18" s="372">
        <v>100</v>
      </c>
      <c r="P18" s="349"/>
      <c r="Q18" s="379">
        <v>0.4</v>
      </c>
      <c r="R18" s="332"/>
      <c r="S18" s="332"/>
      <c r="T18" s="380" t="str">
        <f t="shared" si="0"/>
        <v>摘要を選択</v>
      </c>
      <c r="U18" s="381"/>
      <c r="V18" s="382"/>
      <c r="W18" s="332">
        <v>0.04</v>
      </c>
      <c r="X18" s="332"/>
      <c r="Y18" s="330"/>
      <c r="Z18" s="380" t="str">
        <f t="shared" si="1"/>
        <v>摘要を選択</v>
      </c>
      <c r="AA18" s="381"/>
      <c r="AB18" s="382"/>
      <c r="AC18" s="379"/>
      <c r="AD18" s="332"/>
      <c r="AE18" s="330"/>
      <c r="AF18" s="395" t="s">
        <v>285</v>
      </c>
      <c r="AG18" s="396"/>
      <c r="AH18" s="348">
        <v>14</v>
      </c>
      <c r="AI18" s="348"/>
      <c r="AJ18" s="342"/>
      <c r="AK18" s="343">
        <f t="shared" si="2"/>
        <v>10</v>
      </c>
      <c r="AL18" s="344"/>
      <c r="AM18" s="340"/>
      <c r="AN18" s="348">
        <v>13</v>
      </c>
      <c r="AO18" s="348"/>
      <c r="AP18" s="342"/>
      <c r="AQ18" s="343">
        <f t="shared" si="3"/>
        <v>12</v>
      </c>
      <c r="AR18" s="344"/>
      <c r="AS18" s="340"/>
      <c r="AT18" s="372"/>
      <c r="AU18" s="373"/>
      <c r="AV18" s="373"/>
      <c r="AW18" s="373"/>
      <c r="AX18" s="349"/>
      <c r="BA18" s="122">
        <f t="shared" si="8"/>
        <v>-40.414</v>
      </c>
      <c r="BB18" s="99">
        <f t="shared" si="9"/>
        <v>-40.4004</v>
      </c>
      <c r="BC18" s="1">
        <f t="shared" si="4"/>
        <v>-40.69444444444444</v>
      </c>
      <c r="BD18" s="99">
        <f t="shared" si="5"/>
        <v>-40.66777777777777</v>
      </c>
      <c r="BE18" s="99">
        <f t="shared" si="10"/>
        <v>96.000000000015</v>
      </c>
      <c r="BF18" s="108">
        <f t="shared" si="6"/>
        <v>0</v>
      </c>
      <c r="BH18" s="103">
        <f t="shared" si="7"/>
        <v>4</v>
      </c>
    </row>
    <row r="19" spans="1:60" ht="15.75" customHeight="1">
      <c r="A19" s="4"/>
      <c r="B19" s="372">
        <v>5</v>
      </c>
      <c r="C19" s="373"/>
      <c r="D19" s="373"/>
      <c r="E19" s="349"/>
      <c r="F19" s="372">
        <v>55</v>
      </c>
      <c r="G19" s="373"/>
      <c r="H19" s="373"/>
      <c r="I19" s="349"/>
      <c r="J19" s="379">
        <v>5</v>
      </c>
      <c r="K19" s="332"/>
      <c r="L19" s="330"/>
      <c r="M19" s="372">
        <v>15</v>
      </c>
      <c r="N19" s="349"/>
      <c r="O19" s="372">
        <v>100</v>
      </c>
      <c r="P19" s="349"/>
      <c r="Q19" s="379">
        <v>0.5</v>
      </c>
      <c r="R19" s="332"/>
      <c r="S19" s="332"/>
      <c r="T19" s="380">
        <f t="shared" si="0"/>
        <v>1.1</v>
      </c>
      <c r="U19" s="381"/>
      <c r="V19" s="382"/>
      <c r="W19" s="332">
        <v>0.05</v>
      </c>
      <c r="X19" s="332"/>
      <c r="Y19" s="330"/>
      <c r="Z19" s="380">
        <f t="shared" si="1"/>
        <v>0.225</v>
      </c>
      <c r="AA19" s="381"/>
      <c r="AB19" s="382"/>
      <c r="AC19" s="379"/>
      <c r="AD19" s="332"/>
      <c r="AE19" s="330"/>
      <c r="AF19" s="395"/>
      <c r="AG19" s="396"/>
      <c r="AH19" s="348">
        <v>15</v>
      </c>
      <c r="AI19" s="348"/>
      <c r="AJ19" s="342"/>
      <c r="AK19" s="343">
        <f t="shared" si="2"/>
        <v>10</v>
      </c>
      <c r="AL19" s="344"/>
      <c r="AM19" s="340"/>
      <c r="AN19" s="348">
        <v>14</v>
      </c>
      <c r="AO19" s="348"/>
      <c r="AP19" s="342"/>
      <c r="AQ19" s="343">
        <f t="shared" si="3"/>
        <v>12</v>
      </c>
      <c r="AR19" s="344"/>
      <c r="AS19" s="340"/>
      <c r="AT19" s="372" t="s">
        <v>220</v>
      </c>
      <c r="AU19" s="373"/>
      <c r="AV19" s="373"/>
      <c r="AW19" s="373"/>
      <c r="AX19" s="349"/>
      <c r="BA19" s="122">
        <f t="shared" si="8"/>
        <v>50.505</v>
      </c>
      <c r="BB19" s="99">
        <f t="shared" si="9"/>
        <v>50.5005</v>
      </c>
      <c r="BC19" s="1">
        <f t="shared" si="4"/>
        <v>50.84722222222222</v>
      </c>
      <c r="BD19" s="99">
        <f t="shared" si="5"/>
        <v>50.834722222222226</v>
      </c>
      <c r="BE19" s="99">
        <f t="shared" si="10"/>
        <v>-44.99999999998465</v>
      </c>
      <c r="BF19" s="108">
        <f t="shared" si="6"/>
        <v>1</v>
      </c>
      <c r="BH19" s="103">
        <f t="shared" si="7"/>
        <v>0</v>
      </c>
    </row>
    <row r="20" spans="1:60" ht="15.75" customHeight="1">
      <c r="A20" s="4"/>
      <c r="B20" s="372"/>
      <c r="C20" s="373"/>
      <c r="D20" s="373"/>
      <c r="E20" s="349"/>
      <c r="F20" s="372"/>
      <c r="G20" s="373"/>
      <c r="H20" s="373"/>
      <c r="I20" s="349"/>
      <c r="J20" s="379"/>
      <c r="K20" s="332"/>
      <c r="L20" s="330"/>
      <c r="M20" s="372"/>
      <c r="N20" s="349"/>
      <c r="O20" s="372"/>
      <c r="P20" s="349"/>
      <c r="Q20" s="379">
        <v>0.6</v>
      </c>
      <c r="R20" s="332"/>
      <c r="S20" s="332"/>
      <c r="T20" s="380">
        <f t="shared" si="0"/>
      </c>
      <c r="U20" s="381"/>
      <c r="V20" s="382"/>
      <c r="W20" s="332">
        <v>0.06</v>
      </c>
      <c r="X20" s="332"/>
      <c r="Y20" s="330"/>
      <c r="Z20" s="380">
        <f t="shared" si="1"/>
      </c>
      <c r="AA20" s="381"/>
      <c r="AB20" s="382"/>
      <c r="AC20" s="379"/>
      <c r="AD20" s="332"/>
      <c r="AE20" s="330"/>
      <c r="AF20" s="395"/>
      <c r="AG20" s="396"/>
      <c r="AH20" s="348">
        <v>16</v>
      </c>
      <c r="AI20" s="348"/>
      <c r="AJ20" s="342"/>
      <c r="AK20" s="343">
        <f t="shared" si="2"/>
      </c>
      <c r="AL20" s="344"/>
      <c r="AM20" s="340"/>
      <c r="AN20" s="348">
        <v>15</v>
      </c>
      <c r="AO20" s="348"/>
      <c r="AP20" s="342"/>
      <c r="AQ20" s="343">
        <f t="shared" si="3"/>
      </c>
      <c r="AR20" s="344"/>
      <c r="AS20" s="340"/>
      <c r="AT20" s="372"/>
      <c r="AU20" s="373"/>
      <c r="AV20" s="373"/>
      <c r="AW20" s="373"/>
      <c r="AX20" s="349"/>
      <c r="BA20" s="122">
        <f t="shared" si="8"/>
        <v>6.0606</v>
      </c>
      <c r="BB20" s="99">
        <f t="shared" si="9"/>
        <v>6.06</v>
      </c>
      <c r="BC20" s="1">
        <f t="shared" si="4"/>
        <v>6.101666666666667</v>
      </c>
      <c r="BD20" s="99">
        <f t="shared" si="5"/>
        <v>6.099999999999998</v>
      </c>
      <c r="BE20" s="99">
        <f t="shared" si="10"/>
        <v>-6.000000000007333</v>
      </c>
      <c r="BF20" s="108">
        <f t="shared" si="6"/>
        <v>0</v>
      </c>
      <c r="BG20" s="155"/>
      <c r="BH20" s="103">
        <f t="shared" si="7"/>
        <v>5</v>
      </c>
    </row>
    <row r="21" spans="1:60" ht="15.75" customHeight="1">
      <c r="A21" s="4"/>
      <c r="B21" s="372"/>
      <c r="C21" s="373"/>
      <c r="D21" s="373"/>
      <c r="E21" s="349"/>
      <c r="F21" s="372"/>
      <c r="G21" s="373"/>
      <c r="H21" s="373"/>
      <c r="I21" s="349"/>
      <c r="J21" s="379"/>
      <c r="K21" s="332"/>
      <c r="L21" s="330"/>
      <c r="M21" s="372"/>
      <c r="N21" s="349"/>
      <c r="O21" s="372"/>
      <c r="P21" s="349"/>
      <c r="Q21" s="379">
        <v>0.7</v>
      </c>
      <c r="R21" s="332"/>
      <c r="S21" s="332"/>
      <c r="T21" s="380">
        <f t="shared" si="0"/>
      </c>
      <c r="U21" s="381"/>
      <c r="V21" s="382"/>
      <c r="W21" s="332">
        <v>0.07</v>
      </c>
      <c r="X21" s="332"/>
      <c r="Y21" s="330"/>
      <c r="Z21" s="380">
        <f t="shared" si="1"/>
      </c>
      <c r="AA21" s="381"/>
      <c r="AB21" s="382"/>
      <c r="AC21" s="379"/>
      <c r="AD21" s="332"/>
      <c r="AE21" s="330"/>
      <c r="AF21" s="395"/>
      <c r="AG21" s="396"/>
      <c r="AH21" s="348">
        <v>17</v>
      </c>
      <c r="AI21" s="348"/>
      <c r="AJ21" s="342"/>
      <c r="AK21" s="343">
        <f t="shared" si="2"/>
      </c>
      <c r="AL21" s="344"/>
      <c r="AM21" s="340"/>
      <c r="AN21" s="348">
        <v>16</v>
      </c>
      <c r="AO21" s="348"/>
      <c r="AP21" s="342"/>
      <c r="AQ21" s="343">
        <f t="shared" si="3"/>
      </c>
      <c r="AR21" s="344"/>
      <c r="AS21" s="340"/>
      <c r="AT21" s="372"/>
      <c r="AU21" s="373"/>
      <c r="AV21" s="373"/>
      <c r="AW21" s="373"/>
      <c r="AX21" s="349"/>
      <c r="BA21" s="122">
        <f t="shared" si="8"/>
        <v>7.0107</v>
      </c>
      <c r="BB21" s="99">
        <f t="shared" si="9"/>
        <v>6.59</v>
      </c>
      <c r="BC21" s="1">
        <f t="shared" si="4"/>
        <v>7.018611111111111</v>
      </c>
      <c r="BD21" s="99">
        <f t="shared" si="5"/>
        <v>6.983333333333333</v>
      </c>
      <c r="BE21" s="99">
        <f t="shared" si="10"/>
        <v>-127.00000000000067</v>
      </c>
      <c r="BF21" s="108">
        <f t="shared" si="6"/>
        <v>0</v>
      </c>
      <c r="BG21" s="156" t="s">
        <v>215</v>
      </c>
      <c r="BH21" s="103">
        <f t="shared" si="7"/>
        <v>5</v>
      </c>
    </row>
    <row r="22" spans="1:60" ht="15.75" customHeight="1">
      <c r="A22" s="4"/>
      <c r="B22" s="372"/>
      <c r="C22" s="373"/>
      <c r="D22" s="373"/>
      <c r="E22" s="349"/>
      <c r="F22" s="372"/>
      <c r="G22" s="373"/>
      <c r="H22" s="373"/>
      <c r="I22" s="349"/>
      <c r="J22" s="379"/>
      <c r="K22" s="332"/>
      <c r="L22" s="330"/>
      <c r="M22" s="372"/>
      <c r="N22" s="349"/>
      <c r="O22" s="372"/>
      <c r="P22" s="349"/>
      <c r="Q22" s="379">
        <v>0.8</v>
      </c>
      <c r="R22" s="332"/>
      <c r="S22" s="332"/>
      <c r="T22" s="380">
        <f t="shared" si="0"/>
      </c>
      <c r="U22" s="381"/>
      <c r="V22" s="382"/>
      <c r="W22" s="332">
        <v>0.08</v>
      </c>
      <c r="X22" s="332"/>
      <c r="Y22" s="330"/>
      <c r="Z22" s="380">
        <f t="shared" si="1"/>
      </c>
      <c r="AA22" s="381"/>
      <c r="AB22" s="382"/>
      <c r="AC22" s="379"/>
      <c r="AD22" s="332"/>
      <c r="AE22" s="330"/>
      <c r="AF22" s="395"/>
      <c r="AG22" s="396"/>
      <c r="AH22" s="348">
        <v>18</v>
      </c>
      <c r="AI22" s="348"/>
      <c r="AJ22" s="342"/>
      <c r="AK22" s="343">
        <f t="shared" si="2"/>
      </c>
      <c r="AL22" s="344"/>
      <c r="AM22" s="340"/>
      <c r="AN22" s="348">
        <v>17</v>
      </c>
      <c r="AO22" s="348"/>
      <c r="AP22" s="342"/>
      <c r="AQ22" s="343">
        <f t="shared" si="3"/>
      </c>
      <c r="AR22" s="344"/>
      <c r="AS22" s="340"/>
      <c r="AT22" s="372"/>
      <c r="AU22" s="373"/>
      <c r="AV22" s="373"/>
      <c r="AW22" s="373"/>
      <c r="AX22" s="349"/>
      <c r="BA22" s="122">
        <f t="shared" si="8"/>
        <v>8.0808</v>
      </c>
      <c r="BB22" s="99">
        <f t="shared" si="9"/>
        <v>8.08</v>
      </c>
      <c r="BC22" s="1">
        <f t="shared" si="4"/>
        <v>8.135555555555555</v>
      </c>
      <c r="BD22" s="99">
        <f t="shared" si="5"/>
        <v>8.133333333333333</v>
      </c>
      <c r="BE22" s="99">
        <f t="shared" si="10"/>
        <v>-8.00000000000125</v>
      </c>
      <c r="BF22" s="108">
        <f t="shared" si="6"/>
        <v>0</v>
      </c>
      <c r="BG22" s="156" t="s">
        <v>167</v>
      </c>
      <c r="BH22" s="103">
        <f t="shared" si="7"/>
        <v>5</v>
      </c>
    </row>
    <row r="23" spans="1:60" ht="15.75" customHeight="1">
      <c r="A23" s="4"/>
      <c r="B23" s="331"/>
      <c r="C23" s="328"/>
      <c r="D23" s="328"/>
      <c r="E23" s="329"/>
      <c r="F23" s="331"/>
      <c r="G23" s="328"/>
      <c r="H23" s="328"/>
      <c r="I23" s="329"/>
      <c r="J23" s="412"/>
      <c r="K23" s="413"/>
      <c r="L23" s="414"/>
      <c r="M23" s="331"/>
      <c r="N23" s="329"/>
      <c r="O23" s="331"/>
      <c r="P23" s="329"/>
      <c r="Q23" s="412">
        <v>0.9</v>
      </c>
      <c r="R23" s="413"/>
      <c r="S23" s="413"/>
      <c r="T23" s="424">
        <f t="shared" si="0"/>
      </c>
      <c r="U23" s="425"/>
      <c r="V23" s="426"/>
      <c r="W23" s="413">
        <v>0.09</v>
      </c>
      <c r="X23" s="413"/>
      <c r="Y23" s="414"/>
      <c r="Z23" s="424">
        <f t="shared" si="1"/>
      </c>
      <c r="AA23" s="425"/>
      <c r="AB23" s="426"/>
      <c r="AC23" s="412"/>
      <c r="AD23" s="413"/>
      <c r="AE23" s="414"/>
      <c r="AF23" s="486"/>
      <c r="AG23" s="487"/>
      <c r="AH23" s="341">
        <v>19</v>
      </c>
      <c r="AI23" s="341"/>
      <c r="AJ23" s="338"/>
      <c r="AK23" s="345">
        <f t="shared" si="2"/>
      </c>
      <c r="AL23" s="346"/>
      <c r="AM23" s="347"/>
      <c r="AN23" s="341">
        <v>18</v>
      </c>
      <c r="AO23" s="341"/>
      <c r="AP23" s="338"/>
      <c r="AQ23" s="345">
        <f t="shared" si="3"/>
      </c>
      <c r="AR23" s="346"/>
      <c r="AS23" s="347"/>
      <c r="AT23" s="331"/>
      <c r="AU23" s="328"/>
      <c r="AV23" s="328"/>
      <c r="AW23" s="328"/>
      <c r="AX23" s="329"/>
      <c r="BA23" s="152">
        <f t="shared" si="8"/>
        <v>9.0909</v>
      </c>
      <c r="BB23" s="100">
        <f t="shared" si="9"/>
        <v>9.09</v>
      </c>
      <c r="BC23" s="61">
        <f t="shared" si="4"/>
        <v>9.1525</v>
      </c>
      <c r="BD23" s="100">
        <f t="shared" si="5"/>
        <v>9.15</v>
      </c>
      <c r="BE23" s="100">
        <f t="shared" si="10"/>
        <v>-8.99999999999821</v>
      </c>
      <c r="BF23" s="109">
        <f t="shared" si="6"/>
        <v>0</v>
      </c>
      <c r="BG23" s="157" t="s">
        <v>168</v>
      </c>
      <c r="BH23" s="102">
        <f t="shared" si="7"/>
        <v>5</v>
      </c>
    </row>
    <row r="24" spans="1:62" ht="18" customHeight="1">
      <c r="A24" s="4"/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5"/>
      <c r="U24" s="455"/>
      <c r="V24" s="455"/>
      <c r="W24" s="454"/>
      <c r="X24" s="454"/>
      <c r="Y24" s="454"/>
      <c r="Z24" s="454"/>
      <c r="AA24" s="454"/>
      <c r="AB24" s="454"/>
      <c r="AC24" s="454"/>
      <c r="AD24" s="454"/>
      <c r="AE24" s="456"/>
      <c r="AF24" s="427" t="s">
        <v>212</v>
      </c>
      <c r="AG24" s="428"/>
      <c r="AH24" s="428"/>
      <c r="AI24" s="428"/>
      <c r="AJ24" s="428"/>
      <c r="AK24" s="483">
        <v>0</v>
      </c>
      <c r="AL24" s="484"/>
      <c r="AM24" s="485"/>
      <c r="AN24" s="482"/>
      <c r="AO24" s="480"/>
      <c r="AP24" s="481"/>
      <c r="AQ24" s="482"/>
      <c r="AR24" s="480"/>
      <c r="AS24" s="481"/>
      <c r="AT24" s="480"/>
      <c r="AU24" s="480"/>
      <c r="AV24" s="480"/>
      <c r="AW24" s="480"/>
      <c r="AX24" s="481"/>
      <c r="BJ24" s="110"/>
    </row>
    <row r="25" spans="1:62" ht="12" customHeight="1">
      <c r="A25" s="9"/>
      <c r="B25" s="457"/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BJ25" s="110"/>
    </row>
    <row r="26" spans="1:62" ht="18" customHeight="1">
      <c r="A26" s="4"/>
      <c r="B26" s="325" t="s">
        <v>158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6"/>
      <c r="N26" s="326"/>
      <c r="O26" s="326"/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7"/>
      <c r="AK26" s="136"/>
      <c r="AL26" s="369" t="s">
        <v>96</v>
      </c>
      <c r="AM26" s="370"/>
      <c r="AN26" s="370"/>
      <c r="AO26" s="370"/>
      <c r="AP26" s="370"/>
      <c r="AQ26" s="370"/>
      <c r="AR26" s="370"/>
      <c r="AS26" s="370"/>
      <c r="AT26" s="370"/>
      <c r="AU26" s="370"/>
      <c r="AV26" s="370"/>
      <c r="AW26" s="370"/>
      <c r="AX26" s="371"/>
      <c r="BF26" s="124" t="s">
        <v>222</v>
      </c>
      <c r="BH26" s="124" t="s">
        <v>228</v>
      </c>
      <c r="BJ26" s="110"/>
    </row>
    <row r="27" spans="1:62" ht="18" customHeight="1">
      <c r="A27" s="4"/>
      <c r="B27" s="418" t="s">
        <v>150</v>
      </c>
      <c r="C27" s="419"/>
      <c r="D27" s="419"/>
      <c r="E27" s="420"/>
      <c r="F27" s="325" t="s">
        <v>160</v>
      </c>
      <c r="G27" s="326"/>
      <c r="H27" s="326"/>
      <c r="I27" s="326"/>
      <c r="J27" s="326"/>
      <c r="K27" s="326"/>
      <c r="L27" s="326"/>
      <c r="M27" s="326"/>
      <c r="N27" s="327"/>
      <c r="O27" s="325" t="s">
        <v>161</v>
      </c>
      <c r="P27" s="326"/>
      <c r="Q27" s="326"/>
      <c r="R27" s="326"/>
      <c r="S27" s="326"/>
      <c r="T27" s="326"/>
      <c r="U27" s="326"/>
      <c r="V27" s="326"/>
      <c r="W27" s="326"/>
      <c r="X27" s="326"/>
      <c r="Y27" s="327"/>
      <c r="Z27" s="325" t="s">
        <v>162</v>
      </c>
      <c r="AA27" s="326"/>
      <c r="AB27" s="326"/>
      <c r="AC27" s="326"/>
      <c r="AD27" s="326"/>
      <c r="AE27" s="326"/>
      <c r="AF27" s="326"/>
      <c r="AG27" s="326"/>
      <c r="AH27" s="326"/>
      <c r="AI27" s="326"/>
      <c r="AJ27" s="327"/>
      <c r="AK27" s="136"/>
      <c r="AL27" s="339"/>
      <c r="AM27" s="333"/>
      <c r="AN27" s="333"/>
      <c r="AO27" s="333"/>
      <c r="AP27" s="333"/>
      <c r="AQ27" s="333"/>
      <c r="AR27" s="333"/>
      <c r="AS27" s="333"/>
      <c r="AT27" s="333"/>
      <c r="AU27" s="333"/>
      <c r="AV27" s="333"/>
      <c r="AW27" s="333"/>
      <c r="AX27" s="334"/>
      <c r="BF27" s="117" t="s">
        <v>226</v>
      </c>
      <c r="BG27" s="135" t="s">
        <v>227</v>
      </c>
      <c r="BH27" s="90">
        <v>0.2</v>
      </c>
      <c r="BJ27" s="110"/>
    </row>
    <row r="28" spans="1:60" ht="18" customHeight="1">
      <c r="A28" s="1"/>
      <c r="B28" s="421"/>
      <c r="C28" s="422"/>
      <c r="D28" s="422"/>
      <c r="E28" s="423"/>
      <c r="F28" s="325" t="s">
        <v>166</v>
      </c>
      <c r="G28" s="326"/>
      <c r="H28" s="327"/>
      <c r="I28" s="325" t="s">
        <v>99</v>
      </c>
      <c r="J28" s="326"/>
      <c r="K28" s="327"/>
      <c r="L28" s="325" t="s">
        <v>174</v>
      </c>
      <c r="M28" s="326"/>
      <c r="N28" s="327"/>
      <c r="O28" s="325" t="s">
        <v>166</v>
      </c>
      <c r="P28" s="326"/>
      <c r="Q28" s="326"/>
      <c r="R28" s="327"/>
      <c r="S28" s="325" t="s">
        <v>99</v>
      </c>
      <c r="T28" s="326"/>
      <c r="U28" s="326"/>
      <c r="V28" s="327"/>
      <c r="W28" s="325" t="s">
        <v>64</v>
      </c>
      <c r="X28" s="326"/>
      <c r="Y28" s="327"/>
      <c r="Z28" s="325" t="s">
        <v>166</v>
      </c>
      <c r="AA28" s="326"/>
      <c r="AB28" s="326"/>
      <c r="AC28" s="327"/>
      <c r="AD28" s="325" t="s">
        <v>99</v>
      </c>
      <c r="AE28" s="326"/>
      <c r="AF28" s="326"/>
      <c r="AG28" s="327"/>
      <c r="AH28" s="325" t="s">
        <v>64</v>
      </c>
      <c r="AI28" s="326"/>
      <c r="AJ28" s="327"/>
      <c r="AK28" s="136"/>
      <c r="AL28" s="339"/>
      <c r="AM28" s="333"/>
      <c r="AN28" s="333"/>
      <c r="AO28" s="333"/>
      <c r="AP28" s="333"/>
      <c r="AQ28" s="333"/>
      <c r="AR28" s="333"/>
      <c r="AS28" s="333"/>
      <c r="AT28" s="333"/>
      <c r="AU28" s="333"/>
      <c r="AV28" s="333"/>
      <c r="AW28" s="333"/>
      <c r="AX28" s="334"/>
      <c r="BF28" s="73">
        <v>0.1</v>
      </c>
      <c r="BG28" s="129">
        <v>0.02</v>
      </c>
      <c r="BH28" s="91">
        <v>0.05</v>
      </c>
    </row>
    <row r="29" spans="1:60" ht="17.25" customHeight="1">
      <c r="A29" s="1"/>
      <c r="B29" s="376">
        <v>1</v>
      </c>
      <c r="C29" s="377"/>
      <c r="D29" s="377"/>
      <c r="E29" s="378"/>
      <c r="F29" s="383">
        <v>100</v>
      </c>
      <c r="G29" s="384"/>
      <c r="H29" s="385"/>
      <c r="I29" s="383">
        <v>100.001</v>
      </c>
      <c r="J29" s="384"/>
      <c r="K29" s="385"/>
      <c r="L29" s="435">
        <f aca="true" t="shared" si="11" ref="L29:L37">IF(OR(F29="",I29=""),"",ABS(I29-F29))</f>
        <v>0.0010000000000047748</v>
      </c>
      <c r="M29" s="436"/>
      <c r="N29" s="437"/>
      <c r="O29" s="429" t="s">
        <v>269</v>
      </c>
      <c r="P29" s="430"/>
      <c r="Q29" s="430"/>
      <c r="R29" s="431"/>
      <c r="S29" s="429" t="s">
        <v>229</v>
      </c>
      <c r="T29" s="430"/>
      <c r="U29" s="430"/>
      <c r="V29" s="431"/>
      <c r="W29" s="432" t="str">
        <f aca="true" t="shared" si="12" ref="W29:W37">IF($BG$15=0,"",IF(AND(LEFT(RIGHT(O29,6),1)="-",LEFT(RIGHT(O29,3),1)="-",LEFT(RIGHT(S29,6),1)="-",LEFT(RIGHT(S29,3),1)="-"),BE15,"書式エラー"))</f>
        <v>書式エラー</v>
      </c>
      <c r="X29" s="433"/>
      <c r="Y29" s="434"/>
      <c r="Z29" s="429" t="s">
        <v>257</v>
      </c>
      <c r="AA29" s="430"/>
      <c r="AB29" s="430"/>
      <c r="AC29" s="431"/>
      <c r="AD29" s="429" t="s">
        <v>265</v>
      </c>
      <c r="AE29" s="430"/>
      <c r="AF29" s="430"/>
      <c r="AG29" s="431"/>
      <c r="AH29" s="432">
        <f aca="true" t="shared" si="13" ref="AH29:AH37">IF($BG$15=0,"",IF(AND(LEFT(RIGHT(Z29,6),1)="-",LEFT(RIGHT(Z29,3),1)="-",LEFT(RIGHT(AD29,6),1)="-",LEFT(RIGHT(AD29,3),1)="-"),BE29,"書式エラー"))</f>
        <v>-639.999999999985</v>
      </c>
      <c r="AI29" s="433"/>
      <c r="AJ29" s="434"/>
      <c r="AK29" s="136"/>
      <c r="AL29" s="335"/>
      <c r="AM29" s="336"/>
      <c r="AN29" s="336"/>
      <c r="AO29" s="336"/>
      <c r="AP29" s="336"/>
      <c r="AQ29" s="336"/>
      <c r="AR29" s="336"/>
      <c r="AS29" s="336"/>
      <c r="AT29" s="336"/>
      <c r="AU29" s="336"/>
      <c r="AV29" s="336"/>
      <c r="AW29" s="336"/>
      <c r="AX29" s="337"/>
      <c r="BA29" s="151">
        <f>IF(LEFT(Z29,1)="-",SUBSTITUTE(Z29,"-","")/10000*(-1),SUBSTITUTE(Z29,"-","")/10000)</f>
        <v>10.104</v>
      </c>
      <c r="BB29" s="98">
        <f>IF(LEFT(AD29,1)="-",SUBSTITUTE(AD29,"-","")/10000*(-1),SUBSTITUTE(AD29,"-","")/10000)</f>
        <v>10</v>
      </c>
      <c r="BC29" s="36">
        <f aca="true" t="shared" si="14" ref="BC29:BC37">SIGN(BA29)*(TRUNC(ABS(BA29))+(TRUNC((ABS(BA29)*100-TRUNC(ABS(BA29))*100)+0.01)/60)+((ABS(BA29)*10000-TRUNC(ABS(BA29)*100)*100)/60/60))-IF(ABS(BA29)&gt;180,360,0)</f>
        <v>10.177777777777774</v>
      </c>
      <c r="BD29" s="98">
        <f aca="true" t="shared" si="15" ref="BD29:BD37">SIGN(BB29)*(TRUNC(ABS(BB29))+(TRUNC((ABS(BB29)*100-TRUNC(ABS(BB29))*100)+0.01)/60)+((ABS(BB29)*10000-TRUNC(ABS(BB29)*100)*100)/60/60))-IF(ABS(BB29)&gt;180,360,0)</f>
        <v>10</v>
      </c>
      <c r="BE29" s="98">
        <f>(BD29-BC29)*3600</f>
        <v>-639.999999999985</v>
      </c>
      <c r="BF29" s="69">
        <v>0.1</v>
      </c>
      <c r="BG29" s="130">
        <v>0.03</v>
      </c>
      <c r="BH29" s="92">
        <v>0.1</v>
      </c>
    </row>
    <row r="30" spans="1:60" ht="17.25" customHeight="1">
      <c r="A30" s="1"/>
      <c r="B30" s="372">
        <v>2</v>
      </c>
      <c r="C30" s="373"/>
      <c r="D30" s="373"/>
      <c r="E30" s="349"/>
      <c r="F30" s="379">
        <v>200</v>
      </c>
      <c r="G30" s="332"/>
      <c r="H30" s="330"/>
      <c r="I30" s="379">
        <v>200.002</v>
      </c>
      <c r="J30" s="332"/>
      <c r="K30" s="330"/>
      <c r="L30" s="415">
        <f t="shared" si="11"/>
        <v>0.0020000000000095497</v>
      </c>
      <c r="M30" s="416"/>
      <c r="N30" s="417"/>
      <c r="O30" s="444" t="s">
        <v>255</v>
      </c>
      <c r="P30" s="445"/>
      <c r="Q30" s="445"/>
      <c r="R30" s="446"/>
      <c r="S30" s="444" t="s">
        <v>254</v>
      </c>
      <c r="T30" s="445"/>
      <c r="U30" s="445"/>
      <c r="V30" s="446"/>
      <c r="W30" s="447">
        <f t="shared" si="12"/>
        <v>59.9999999999838</v>
      </c>
      <c r="X30" s="448"/>
      <c r="Y30" s="449"/>
      <c r="Z30" s="444" t="s">
        <v>266</v>
      </c>
      <c r="AA30" s="445"/>
      <c r="AB30" s="445"/>
      <c r="AC30" s="446"/>
      <c r="AD30" s="444" t="s">
        <v>267</v>
      </c>
      <c r="AE30" s="445"/>
      <c r="AF30" s="445"/>
      <c r="AG30" s="446"/>
      <c r="AH30" s="447">
        <f t="shared" si="13"/>
        <v>1199.9999999999957</v>
      </c>
      <c r="AI30" s="448"/>
      <c r="AJ30" s="449"/>
      <c r="AK30" s="136"/>
      <c r="AL30" s="322" t="s">
        <v>175</v>
      </c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20"/>
      <c r="BA30" s="122">
        <f aca="true" t="shared" si="16" ref="BA30:BA37">IF(LEFT(Z30,1)="-",SUBSTITUTE(Z30,"-","")/10000*(-1),SUBSTITUTE(Z30,"-","")/10000)</f>
        <v>20</v>
      </c>
      <c r="BB30" s="99">
        <f aca="true" t="shared" si="17" ref="BB30:BB37">IF(LEFT(AD30,1)="-",SUBSTITUTE(AD30,"-","")/10000*(-1),SUBSTITUTE(AD30,"-","")/10000)</f>
        <v>20.2</v>
      </c>
      <c r="BC30" s="1">
        <f t="shared" si="14"/>
        <v>20</v>
      </c>
      <c r="BD30" s="153">
        <f t="shared" si="15"/>
        <v>20.333333333333332</v>
      </c>
      <c r="BE30" s="99">
        <f aca="true" t="shared" si="18" ref="BE30:BE37">(BD30-BC30)*3600</f>
        <v>1199.9999999999957</v>
      </c>
      <c r="BF30" s="69">
        <v>0.15</v>
      </c>
      <c r="BG30" s="130">
        <v>0.05</v>
      </c>
      <c r="BH30" s="92">
        <v>0.15</v>
      </c>
    </row>
    <row r="31" spans="1:60" ht="17.25" customHeight="1">
      <c r="A31" s="1"/>
      <c r="B31" s="372">
        <v>3</v>
      </c>
      <c r="C31" s="373"/>
      <c r="D31" s="373"/>
      <c r="E31" s="349"/>
      <c r="F31" s="379">
        <v>300</v>
      </c>
      <c r="G31" s="332"/>
      <c r="H31" s="330"/>
      <c r="I31" s="379">
        <v>300.003</v>
      </c>
      <c r="J31" s="332"/>
      <c r="K31" s="330"/>
      <c r="L31" s="415">
        <f t="shared" si="11"/>
        <v>0.002999999999985903</v>
      </c>
      <c r="M31" s="416"/>
      <c r="N31" s="417"/>
      <c r="O31" s="444" t="s">
        <v>268</v>
      </c>
      <c r="P31" s="445"/>
      <c r="Q31" s="445"/>
      <c r="R31" s="446"/>
      <c r="S31" s="444" t="s">
        <v>232</v>
      </c>
      <c r="T31" s="445"/>
      <c r="U31" s="445"/>
      <c r="V31" s="446"/>
      <c r="W31" s="447">
        <f t="shared" si="12"/>
        <v>-27.000000000001023</v>
      </c>
      <c r="X31" s="448"/>
      <c r="Y31" s="449"/>
      <c r="Z31" s="444" t="s">
        <v>233</v>
      </c>
      <c r="AA31" s="445"/>
      <c r="AB31" s="445"/>
      <c r="AC31" s="446"/>
      <c r="AD31" s="444" t="s">
        <v>234</v>
      </c>
      <c r="AE31" s="445"/>
      <c r="AF31" s="445"/>
      <c r="AG31" s="446"/>
      <c r="AH31" s="447" t="str">
        <f t="shared" si="13"/>
        <v>書式エラー</v>
      </c>
      <c r="AI31" s="448"/>
      <c r="AJ31" s="449"/>
      <c r="AK31" s="136"/>
      <c r="AL31" s="369" t="s">
        <v>176</v>
      </c>
      <c r="AM31" s="370"/>
      <c r="AN31" s="370"/>
      <c r="AO31" s="371"/>
      <c r="AP31" s="369" t="s">
        <v>177</v>
      </c>
      <c r="AQ31" s="370"/>
      <c r="AR31" s="370"/>
      <c r="AS31" s="371"/>
      <c r="AT31" s="370" t="s">
        <v>178</v>
      </c>
      <c r="AU31" s="370"/>
      <c r="AV31" s="370"/>
      <c r="AW31" s="370"/>
      <c r="AX31" s="371"/>
      <c r="BA31" s="122">
        <f t="shared" si="16"/>
        <v>0.003</v>
      </c>
      <c r="BB31" s="99">
        <f t="shared" si="17"/>
        <v>0.303</v>
      </c>
      <c r="BC31" s="1">
        <f t="shared" si="14"/>
        <v>0.008333333333333333</v>
      </c>
      <c r="BD31" s="153">
        <f t="shared" si="15"/>
        <v>0.5083333333333333</v>
      </c>
      <c r="BE31" s="99">
        <f t="shared" si="18"/>
        <v>1799.9999999999998</v>
      </c>
      <c r="BF31" s="150">
        <v>0.15</v>
      </c>
      <c r="BG31" s="131">
        <v>0.1</v>
      </c>
      <c r="BH31" s="93">
        <v>0.3</v>
      </c>
    </row>
    <row r="32" spans="1:58" ht="17.25" customHeight="1">
      <c r="A32" s="1"/>
      <c r="B32" s="372">
        <v>4</v>
      </c>
      <c r="C32" s="373"/>
      <c r="D32" s="373"/>
      <c r="E32" s="349"/>
      <c r="F32" s="379">
        <v>400</v>
      </c>
      <c r="G32" s="332"/>
      <c r="H32" s="330"/>
      <c r="I32" s="379">
        <v>400.004</v>
      </c>
      <c r="J32" s="332"/>
      <c r="K32" s="330"/>
      <c r="L32" s="415">
        <f t="shared" si="11"/>
        <v>0.004000000000019099</v>
      </c>
      <c r="M32" s="416"/>
      <c r="N32" s="417"/>
      <c r="O32" s="444" t="s">
        <v>256</v>
      </c>
      <c r="P32" s="445"/>
      <c r="Q32" s="445"/>
      <c r="R32" s="446"/>
      <c r="S32" s="444" t="s">
        <v>250</v>
      </c>
      <c r="T32" s="445"/>
      <c r="U32" s="445"/>
      <c r="V32" s="446"/>
      <c r="W32" s="447">
        <f t="shared" si="12"/>
        <v>96.000000000015</v>
      </c>
      <c r="X32" s="448"/>
      <c r="Y32" s="449"/>
      <c r="Z32" s="444" t="s">
        <v>235</v>
      </c>
      <c r="AA32" s="445"/>
      <c r="AB32" s="445"/>
      <c r="AC32" s="446"/>
      <c r="AD32" s="444" t="s">
        <v>236</v>
      </c>
      <c r="AE32" s="445"/>
      <c r="AF32" s="445"/>
      <c r="AG32" s="446"/>
      <c r="AH32" s="447" t="str">
        <f t="shared" si="13"/>
        <v>書式エラー</v>
      </c>
      <c r="AI32" s="448"/>
      <c r="AJ32" s="449"/>
      <c r="AK32" s="136"/>
      <c r="AL32" s="339"/>
      <c r="AM32" s="333"/>
      <c r="AN32" s="333"/>
      <c r="AO32" s="334"/>
      <c r="AP32" s="339"/>
      <c r="AQ32" s="333"/>
      <c r="AR32" s="333"/>
      <c r="AS32" s="334"/>
      <c r="AT32" s="333"/>
      <c r="AU32" s="333"/>
      <c r="AV32" s="333"/>
      <c r="AW32" s="333"/>
      <c r="AX32" s="334"/>
      <c r="BA32" s="122">
        <f t="shared" si="16"/>
        <v>0.004</v>
      </c>
      <c r="BB32" s="99">
        <f t="shared" si="17"/>
        <v>0.404</v>
      </c>
      <c r="BC32" s="1">
        <f t="shared" si="14"/>
        <v>0.01111111111111111</v>
      </c>
      <c r="BD32" s="153">
        <f t="shared" si="15"/>
        <v>0.6777777777777778</v>
      </c>
      <c r="BE32" s="99">
        <f t="shared" si="18"/>
        <v>2400.0000000000005</v>
      </c>
      <c r="BF32" s="124" t="s">
        <v>225</v>
      </c>
    </row>
    <row r="33" spans="1:60" ht="17.25" customHeight="1">
      <c r="A33" s="1"/>
      <c r="B33" s="372">
        <v>5</v>
      </c>
      <c r="C33" s="373"/>
      <c r="D33" s="373"/>
      <c r="E33" s="349"/>
      <c r="F33" s="379">
        <v>500</v>
      </c>
      <c r="G33" s="332"/>
      <c r="H33" s="330"/>
      <c r="I33" s="379">
        <v>500.005</v>
      </c>
      <c r="J33" s="332"/>
      <c r="K33" s="330"/>
      <c r="L33" s="415">
        <f t="shared" si="11"/>
        <v>0.0049999999999954525</v>
      </c>
      <c r="M33" s="416"/>
      <c r="N33" s="417"/>
      <c r="O33" s="444" t="s">
        <v>237</v>
      </c>
      <c r="P33" s="445"/>
      <c r="Q33" s="445"/>
      <c r="R33" s="446"/>
      <c r="S33" s="444" t="s">
        <v>238</v>
      </c>
      <c r="T33" s="445"/>
      <c r="U33" s="445"/>
      <c r="V33" s="446"/>
      <c r="W33" s="447">
        <f t="shared" si="12"/>
        <v>-44.99999999998465</v>
      </c>
      <c r="X33" s="448"/>
      <c r="Y33" s="449"/>
      <c r="Z33" s="444" t="s">
        <v>260</v>
      </c>
      <c r="AA33" s="445"/>
      <c r="AB33" s="445"/>
      <c r="AC33" s="446"/>
      <c r="AD33" s="444" t="s">
        <v>239</v>
      </c>
      <c r="AE33" s="445"/>
      <c r="AF33" s="445"/>
      <c r="AG33" s="446"/>
      <c r="AH33" s="447" t="str">
        <f t="shared" si="13"/>
        <v>書式エラー</v>
      </c>
      <c r="AI33" s="448"/>
      <c r="AJ33" s="449"/>
      <c r="AK33" s="136"/>
      <c r="AL33" s="339"/>
      <c r="AM33" s="333"/>
      <c r="AN33" s="333"/>
      <c r="AO33" s="334"/>
      <c r="AP33" s="339"/>
      <c r="AQ33" s="333"/>
      <c r="AR33" s="333"/>
      <c r="AS33" s="334"/>
      <c r="AT33" s="333"/>
      <c r="AU33" s="333"/>
      <c r="AV33" s="333"/>
      <c r="AW33" s="333"/>
      <c r="AX33" s="334"/>
      <c r="BA33" s="122">
        <f t="shared" si="16"/>
        <v>0.005</v>
      </c>
      <c r="BB33" s="99">
        <f t="shared" si="17"/>
        <v>0.505</v>
      </c>
      <c r="BC33" s="1">
        <f t="shared" si="14"/>
        <v>0.01388888888888889</v>
      </c>
      <c r="BD33" s="153">
        <f t="shared" si="15"/>
        <v>0.8472222222222222</v>
      </c>
      <c r="BE33" s="99">
        <f t="shared" si="18"/>
        <v>3000</v>
      </c>
      <c r="BF33" s="128" t="s">
        <v>224</v>
      </c>
      <c r="BH33" s="124" t="s">
        <v>223</v>
      </c>
    </row>
    <row r="34" spans="1:60" ht="17.25" customHeight="1">
      <c r="A34" s="1"/>
      <c r="B34" s="372">
        <v>6</v>
      </c>
      <c r="C34" s="373"/>
      <c r="D34" s="373"/>
      <c r="E34" s="349"/>
      <c r="F34" s="379">
        <v>600</v>
      </c>
      <c r="G34" s="332"/>
      <c r="H34" s="330"/>
      <c r="I34" s="379">
        <v>600.006</v>
      </c>
      <c r="J34" s="332"/>
      <c r="K34" s="330"/>
      <c r="L34" s="415">
        <f t="shared" si="11"/>
        <v>0.005999999999971806</v>
      </c>
      <c r="M34" s="416"/>
      <c r="N34" s="417"/>
      <c r="O34" s="444" t="s">
        <v>240</v>
      </c>
      <c r="P34" s="445"/>
      <c r="Q34" s="445"/>
      <c r="R34" s="446"/>
      <c r="S34" s="444" t="s">
        <v>251</v>
      </c>
      <c r="T34" s="445"/>
      <c r="U34" s="445"/>
      <c r="V34" s="446"/>
      <c r="W34" s="447">
        <f t="shared" si="12"/>
        <v>-6.000000000007333</v>
      </c>
      <c r="X34" s="448"/>
      <c r="Y34" s="449"/>
      <c r="Z34" s="444" t="s">
        <v>261</v>
      </c>
      <c r="AA34" s="445"/>
      <c r="AB34" s="445"/>
      <c r="AC34" s="446"/>
      <c r="AD34" s="444" t="s">
        <v>241</v>
      </c>
      <c r="AE34" s="445"/>
      <c r="AF34" s="445"/>
      <c r="AG34" s="446"/>
      <c r="AH34" s="447" t="str">
        <f t="shared" si="13"/>
        <v>書式エラー</v>
      </c>
      <c r="AI34" s="448"/>
      <c r="AJ34" s="449"/>
      <c r="AK34" s="136"/>
      <c r="AL34" s="335"/>
      <c r="AM34" s="336"/>
      <c r="AN34" s="336"/>
      <c r="AO34" s="337"/>
      <c r="AP34" s="335"/>
      <c r="AQ34" s="336"/>
      <c r="AR34" s="336"/>
      <c r="AS34" s="337"/>
      <c r="AT34" s="336"/>
      <c r="AU34" s="336"/>
      <c r="AV34" s="336"/>
      <c r="AW34" s="336"/>
      <c r="AX34" s="337"/>
      <c r="BA34" s="122">
        <f t="shared" si="16"/>
        <v>0.006</v>
      </c>
      <c r="BB34" s="99">
        <f t="shared" si="17"/>
        <v>0.6006</v>
      </c>
      <c r="BC34" s="1">
        <f t="shared" si="14"/>
        <v>0.016666666666666666</v>
      </c>
      <c r="BD34" s="153">
        <f t="shared" si="15"/>
        <v>1.0016666666666667</v>
      </c>
      <c r="BE34" s="99">
        <f t="shared" si="18"/>
        <v>3546</v>
      </c>
      <c r="BF34" s="129">
        <v>0.01</v>
      </c>
      <c r="BG34" s="69"/>
      <c r="BH34" s="91">
        <v>0.05</v>
      </c>
    </row>
    <row r="35" spans="1:60" ht="17.25" customHeight="1">
      <c r="A35" s="1"/>
      <c r="B35" s="372">
        <v>7</v>
      </c>
      <c r="C35" s="373"/>
      <c r="D35" s="373"/>
      <c r="E35" s="349"/>
      <c r="F35" s="379">
        <v>700</v>
      </c>
      <c r="G35" s="332"/>
      <c r="H35" s="330"/>
      <c r="I35" s="379">
        <v>700.007</v>
      </c>
      <c r="J35" s="332"/>
      <c r="K35" s="330"/>
      <c r="L35" s="415">
        <f t="shared" si="11"/>
        <v>0.006999999999948159</v>
      </c>
      <c r="M35" s="416"/>
      <c r="N35" s="417"/>
      <c r="O35" s="444" t="s">
        <v>259</v>
      </c>
      <c r="P35" s="445"/>
      <c r="Q35" s="445"/>
      <c r="R35" s="446"/>
      <c r="S35" s="444" t="s">
        <v>258</v>
      </c>
      <c r="T35" s="445"/>
      <c r="U35" s="445"/>
      <c r="V35" s="446"/>
      <c r="W35" s="447">
        <f t="shared" si="12"/>
        <v>-127.00000000000067</v>
      </c>
      <c r="X35" s="448"/>
      <c r="Y35" s="449"/>
      <c r="Z35" s="444" t="s">
        <v>262</v>
      </c>
      <c r="AA35" s="445"/>
      <c r="AB35" s="445"/>
      <c r="AC35" s="446"/>
      <c r="AD35" s="444" t="s">
        <v>242</v>
      </c>
      <c r="AE35" s="445"/>
      <c r="AF35" s="445"/>
      <c r="AG35" s="446"/>
      <c r="AH35" s="447" t="str">
        <f t="shared" si="13"/>
        <v>書式エラー</v>
      </c>
      <c r="AI35" s="448"/>
      <c r="AJ35" s="449"/>
      <c r="AK35" s="136"/>
      <c r="AL35" s="369" t="s">
        <v>179</v>
      </c>
      <c r="AM35" s="370"/>
      <c r="AN35" s="370"/>
      <c r="AO35" s="370"/>
      <c r="AP35" s="370"/>
      <c r="AQ35" s="370"/>
      <c r="AR35" s="370"/>
      <c r="AS35" s="370"/>
      <c r="AT35" s="370"/>
      <c r="AU35" s="370"/>
      <c r="AV35" s="370"/>
      <c r="AW35" s="370"/>
      <c r="AX35" s="371"/>
      <c r="BA35" s="122">
        <f t="shared" si="16"/>
        <v>0.007</v>
      </c>
      <c r="BB35" s="99">
        <f t="shared" si="17"/>
        <v>0.7007</v>
      </c>
      <c r="BC35" s="1">
        <f t="shared" si="14"/>
        <v>0.019444444444444445</v>
      </c>
      <c r="BD35" s="153">
        <f t="shared" si="15"/>
        <v>1.1686111111111113</v>
      </c>
      <c r="BE35" s="99">
        <f t="shared" si="18"/>
        <v>4137.000000000001</v>
      </c>
      <c r="BF35" s="130">
        <v>0.015</v>
      </c>
      <c r="BG35" s="69"/>
      <c r="BH35" s="92">
        <v>0.1</v>
      </c>
    </row>
    <row r="36" spans="1:60" ht="17.25" customHeight="1">
      <c r="A36" s="1"/>
      <c r="B36" s="372">
        <v>8</v>
      </c>
      <c r="C36" s="373"/>
      <c r="D36" s="373"/>
      <c r="E36" s="349"/>
      <c r="F36" s="379">
        <v>800</v>
      </c>
      <c r="G36" s="332"/>
      <c r="H36" s="330"/>
      <c r="I36" s="379">
        <v>800.008</v>
      </c>
      <c r="J36" s="332"/>
      <c r="K36" s="330"/>
      <c r="L36" s="415">
        <f t="shared" si="11"/>
        <v>0.008000000000038199</v>
      </c>
      <c r="M36" s="416"/>
      <c r="N36" s="417"/>
      <c r="O36" s="444" t="s">
        <v>243</v>
      </c>
      <c r="P36" s="445"/>
      <c r="Q36" s="445"/>
      <c r="R36" s="446"/>
      <c r="S36" s="444" t="s">
        <v>252</v>
      </c>
      <c r="T36" s="445"/>
      <c r="U36" s="445"/>
      <c r="V36" s="446"/>
      <c r="W36" s="447">
        <f t="shared" si="12"/>
        <v>-8.00000000000125</v>
      </c>
      <c r="X36" s="448"/>
      <c r="Y36" s="449"/>
      <c r="Z36" s="444" t="s">
        <v>263</v>
      </c>
      <c r="AA36" s="445"/>
      <c r="AB36" s="445"/>
      <c r="AC36" s="446"/>
      <c r="AD36" s="444" t="s">
        <v>244</v>
      </c>
      <c r="AE36" s="445"/>
      <c r="AF36" s="445"/>
      <c r="AG36" s="446"/>
      <c r="AH36" s="447" t="str">
        <f t="shared" si="13"/>
        <v>書式エラー</v>
      </c>
      <c r="AI36" s="448"/>
      <c r="AJ36" s="449"/>
      <c r="AK36" s="136"/>
      <c r="AL36" s="339"/>
      <c r="AM36" s="333"/>
      <c r="AN36" s="333"/>
      <c r="AO36" s="333"/>
      <c r="AP36" s="333"/>
      <c r="AQ36" s="333"/>
      <c r="AR36" s="333"/>
      <c r="AS36" s="333"/>
      <c r="AT36" s="333"/>
      <c r="AU36" s="333"/>
      <c r="AV36" s="333"/>
      <c r="AW36" s="333"/>
      <c r="AX36" s="334"/>
      <c r="BA36" s="122">
        <f t="shared" si="16"/>
        <v>0.008</v>
      </c>
      <c r="BB36" s="99">
        <f t="shared" si="17"/>
        <v>0.8008</v>
      </c>
      <c r="BC36" s="1">
        <f t="shared" si="14"/>
        <v>0.02222222222222222</v>
      </c>
      <c r="BD36" s="153">
        <f t="shared" si="15"/>
        <v>1.3355555555555554</v>
      </c>
      <c r="BE36" s="99">
        <f t="shared" si="18"/>
        <v>4728</v>
      </c>
      <c r="BF36" s="130">
        <v>0.025</v>
      </c>
      <c r="BG36" s="69"/>
      <c r="BH36" s="92">
        <v>0.15</v>
      </c>
    </row>
    <row r="37" spans="1:60" ht="17.25" customHeight="1">
      <c r="A37" s="1"/>
      <c r="B37" s="331">
        <v>9</v>
      </c>
      <c r="C37" s="328"/>
      <c r="D37" s="328"/>
      <c r="E37" s="329"/>
      <c r="F37" s="412">
        <v>900</v>
      </c>
      <c r="G37" s="413"/>
      <c r="H37" s="414"/>
      <c r="I37" s="412">
        <v>900.009</v>
      </c>
      <c r="J37" s="413"/>
      <c r="K37" s="414"/>
      <c r="L37" s="441">
        <f t="shared" si="11"/>
        <v>0.009000000000014552</v>
      </c>
      <c r="M37" s="442"/>
      <c r="N37" s="443"/>
      <c r="O37" s="438" t="s">
        <v>245</v>
      </c>
      <c r="P37" s="439"/>
      <c r="Q37" s="439"/>
      <c r="R37" s="440"/>
      <c r="S37" s="438" t="s">
        <v>253</v>
      </c>
      <c r="T37" s="439"/>
      <c r="U37" s="439"/>
      <c r="V37" s="440"/>
      <c r="W37" s="450">
        <f t="shared" si="12"/>
        <v>-8.99999999999821</v>
      </c>
      <c r="X37" s="451"/>
      <c r="Y37" s="452"/>
      <c r="Z37" s="438" t="s">
        <v>264</v>
      </c>
      <c r="AA37" s="439"/>
      <c r="AB37" s="439"/>
      <c r="AC37" s="440"/>
      <c r="AD37" s="438" t="s">
        <v>246</v>
      </c>
      <c r="AE37" s="439"/>
      <c r="AF37" s="439"/>
      <c r="AG37" s="440"/>
      <c r="AH37" s="450" t="str">
        <f t="shared" si="13"/>
        <v>書式エラー</v>
      </c>
      <c r="AI37" s="451"/>
      <c r="AJ37" s="452"/>
      <c r="AK37" s="136"/>
      <c r="AL37" s="335"/>
      <c r="AM37" s="336"/>
      <c r="AN37" s="336"/>
      <c r="AO37" s="336"/>
      <c r="AP37" s="336"/>
      <c r="AQ37" s="336"/>
      <c r="AR37" s="336"/>
      <c r="AS37" s="336"/>
      <c r="AT37" s="336"/>
      <c r="AU37" s="336"/>
      <c r="AV37" s="336"/>
      <c r="AW37" s="336"/>
      <c r="AX37" s="337"/>
      <c r="BA37" s="152">
        <f t="shared" si="16"/>
        <v>0.009</v>
      </c>
      <c r="BB37" s="100">
        <f t="shared" si="17"/>
        <v>0.9009</v>
      </c>
      <c r="BC37" s="61">
        <f t="shared" si="14"/>
        <v>0.025</v>
      </c>
      <c r="BD37" s="154">
        <f t="shared" si="15"/>
        <v>1.5025</v>
      </c>
      <c r="BE37" s="100">
        <f t="shared" si="18"/>
        <v>5319</v>
      </c>
      <c r="BF37" s="131">
        <v>0.05</v>
      </c>
      <c r="BG37" s="69"/>
      <c r="BH37" s="93">
        <v>0.3</v>
      </c>
    </row>
    <row r="38" spans="1:47" ht="23.25" customHeight="1">
      <c r="A38" s="1"/>
      <c r="B38" s="1"/>
      <c r="C38" s="1"/>
      <c r="Z38" s="121"/>
      <c r="AA38" s="121"/>
      <c r="AB38" s="121"/>
      <c r="AC38" s="121"/>
      <c r="AD38" s="121"/>
      <c r="AE38" s="121"/>
      <c r="AF38" s="121"/>
      <c r="AG38" s="121"/>
      <c r="AL38" s="1"/>
      <c r="AM38" s="1"/>
      <c r="AN38" s="1"/>
      <c r="AO38" s="1"/>
      <c r="AP38" s="1"/>
      <c r="AQ38" s="1"/>
      <c r="AR38" s="1"/>
      <c r="AS38" s="1"/>
      <c r="AT38" s="1"/>
      <c r="AU38" s="1"/>
    </row>
  </sheetData>
  <sheetProtection selectLockedCells="1"/>
  <mergeCells count="326">
    <mergeCell ref="AC16:AE16"/>
    <mergeCell ref="AC15:AE15"/>
    <mergeCell ref="AC22:AE22"/>
    <mergeCell ref="AT24:AX24"/>
    <mergeCell ref="AQ24:AS24"/>
    <mergeCell ref="AN24:AP24"/>
    <mergeCell ref="AK24:AM24"/>
    <mergeCell ref="AF21:AG21"/>
    <mergeCell ref="AF23:AG23"/>
    <mergeCell ref="AC21:AE21"/>
    <mergeCell ref="M10:O10"/>
    <mergeCell ref="F20:I20"/>
    <mergeCell ref="B1:AX1"/>
    <mergeCell ref="B4:AX4"/>
    <mergeCell ref="B6:AX6"/>
    <mergeCell ref="F5:T5"/>
    <mergeCell ref="U5:AX5"/>
    <mergeCell ref="B2:AX2"/>
    <mergeCell ref="E10:L10"/>
    <mergeCell ref="AJ10:AN10"/>
    <mergeCell ref="W10:Y10"/>
    <mergeCell ref="P9:V9"/>
    <mergeCell ref="P10:V10"/>
    <mergeCell ref="AJ9:AO9"/>
    <mergeCell ref="AG10:AI10"/>
    <mergeCell ref="Z9:AF9"/>
    <mergeCell ref="Z10:AF10"/>
    <mergeCell ref="B8:AX8"/>
    <mergeCell ref="B7:AX7"/>
    <mergeCell ref="B5:E5"/>
    <mergeCell ref="B9:D9"/>
    <mergeCell ref="AS9:AW9"/>
    <mergeCell ref="AP9:AR9"/>
    <mergeCell ref="AG9:AI9"/>
    <mergeCell ref="E9:L9"/>
    <mergeCell ref="M9:O9"/>
    <mergeCell ref="W9:Y9"/>
    <mergeCell ref="B17:E17"/>
    <mergeCell ref="B18:E18"/>
    <mergeCell ref="M16:N16"/>
    <mergeCell ref="M17:N17"/>
    <mergeCell ref="F12:I14"/>
    <mergeCell ref="AT33:AX33"/>
    <mergeCell ref="AL30:AX30"/>
    <mergeCell ref="O17:P17"/>
    <mergeCell ref="O18:P18"/>
    <mergeCell ref="M18:N18"/>
    <mergeCell ref="F17:I17"/>
    <mergeCell ref="J17:L17"/>
    <mergeCell ref="W32:Y32"/>
    <mergeCell ref="J22:L22"/>
    <mergeCell ref="B10:D10"/>
    <mergeCell ref="B3:AX3"/>
    <mergeCell ref="AH12:AS12"/>
    <mergeCell ref="Z27:AJ27"/>
    <mergeCell ref="B21:E21"/>
    <mergeCell ref="O16:P16"/>
    <mergeCell ref="F16:I16"/>
    <mergeCell ref="AC23:AE23"/>
    <mergeCell ref="AS10:AX10"/>
    <mergeCell ref="AP10:AR10"/>
    <mergeCell ref="Z37:AC37"/>
    <mergeCell ref="AT32:AX32"/>
    <mergeCell ref="AP33:AS33"/>
    <mergeCell ref="AP34:AS34"/>
    <mergeCell ref="AT34:AX34"/>
    <mergeCell ref="AH37:AJ37"/>
    <mergeCell ref="AH36:AJ36"/>
    <mergeCell ref="AH35:AJ35"/>
    <mergeCell ref="Z33:AC33"/>
    <mergeCell ref="Z34:AC34"/>
    <mergeCell ref="Z36:AC36"/>
    <mergeCell ref="Z31:AC31"/>
    <mergeCell ref="Z28:AC28"/>
    <mergeCell ref="Z29:AC29"/>
    <mergeCell ref="Z35:AC35"/>
    <mergeCell ref="Z32:AC32"/>
    <mergeCell ref="Z30:AC30"/>
    <mergeCell ref="F36:H36"/>
    <mergeCell ref="I29:K29"/>
    <mergeCell ref="I30:K30"/>
    <mergeCell ref="I31:K31"/>
    <mergeCell ref="I32:K32"/>
    <mergeCell ref="I33:K33"/>
    <mergeCell ref="I35:K35"/>
    <mergeCell ref="F35:H35"/>
    <mergeCell ref="F33:H33"/>
    <mergeCell ref="F34:H34"/>
    <mergeCell ref="O30:R30"/>
    <mergeCell ref="O31:R31"/>
    <mergeCell ref="I36:K36"/>
    <mergeCell ref="I37:K37"/>
    <mergeCell ref="O32:R32"/>
    <mergeCell ref="O36:R36"/>
    <mergeCell ref="L31:N31"/>
    <mergeCell ref="L32:N32"/>
    <mergeCell ref="O21:P21"/>
    <mergeCell ref="Q23:S23"/>
    <mergeCell ref="T23:V23"/>
    <mergeCell ref="O23:P23"/>
    <mergeCell ref="T22:V22"/>
    <mergeCell ref="T21:V21"/>
    <mergeCell ref="AD35:AG35"/>
    <mergeCell ref="W29:Y29"/>
    <mergeCell ref="S36:V36"/>
    <mergeCell ref="W28:Y28"/>
    <mergeCell ref="W34:Y34"/>
    <mergeCell ref="S34:V34"/>
    <mergeCell ref="W31:Y31"/>
    <mergeCell ref="AD28:AG28"/>
    <mergeCell ref="S35:V35"/>
    <mergeCell ref="W33:Y33"/>
    <mergeCell ref="Z19:AB19"/>
    <mergeCell ref="Z20:AB20"/>
    <mergeCell ref="AC20:AE20"/>
    <mergeCell ref="Z21:AB21"/>
    <mergeCell ref="AC19:AE19"/>
    <mergeCell ref="W21:Y21"/>
    <mergeCell ref="Z22:AB22"/>
    <mergeCell ref="B24:AE24"/>
    <mergeCell ref="B25:AX25"/>
    <mergeCell ref="M23:N23"/>
    <mergeCell ref="AH23:AJ23"/>
    <mergeCell ref="AH22:AJ22"/>
    <mergeCell ref="AH21:AJ21"/>
    <mergeCell ref="AQ21:AS21"/>
    <mergeCell ref="AN22:AP22"/>
    <mergeCell ref="W37:Y37"/>
    <mergeCell ref="AD30:AG30"/>
    <mergeCell ref="AD31:AG31"/>
    <mergeCell ref="AD32:AG32"/>
    <mergeCell ref="AD36:AG36"/>
    <mergeCell ref="AD37:AG37"/>
    <mergeCell ref="W36:Y36"/>
    <mergeCell ref="W35:Y35"/>
    <mergeCell ref="AD34:AG34"/>
    <mergeCell ref="AD33:AG33"/>
    <mergeCell ref="B33:E33"/>
    <mergeCell ref="O33:R33"/>
    <mergeCell ref="O34:R34"/>
    <mergeCell ref="B34:E34"/>
    <mergeCell ref="I34:K34"/>
    <mergeCell ref="L33:N33"/>
    <mergeCell ref="L34:N34"/>
    <mergeCell ref="AH33:AJ33"/>
    <mergeCell ref="AH34:AJ34"/>
    <mergeCell ref="S30:V30"/>
    <mergeCell ref="AH30:AJ30"/>
    <mergeCell ref="W30:Y30"/>
    <mergeCell ref="AH31:AJ31"/>
    <mergeCell ref="AH32:AJ32"/>
    <mergeCell ref="S31:V31"/>
    <mergeCell ref="S32:V32"/>
    <mergeCell ref="S33:V33"/>
    <mergeCell ref="S37:V37"/>
    <mergeCell ref="B35:E35"/>
    <mergeCell ref="B36:E36"/>
    <mergeCell ref="B37:E37"/>
    <mergeCell ref="L36:N36"/>
    <mergeCell ref="L37:N37"/>
    <mergeCell ref="F37:H37"/>
    <mergeCell ref="O35:R35"/>
    <mergeCell ref="L35:N35"/>
    <mergeCell ref="O37:R37"/>
    <mergeCell ref="B26:AJ26"/>
    <mergeCell ref="AH28:AJ28"/>
    <mergeCell ref="W23:Y23"/>
    <mergeCell ref="B29:E29"/>
    <mergeCell ref="AF24:AJ24"/>
    <mergeCell ref="O29:R29"/>
    <mergeCell ref="AH29:AJ29"/>
    <mergeCell ref="L29:N29"/>
    <mergeCell ref="AD29:AG29"/>
    <mergeCell ref="S29:V29"/>
    <mergeCell ref="AF20:AG20"/>
    <mergeCell ref="AH19:AJ19"/>
    <mergeCell ref="AH20:AJ20"/>
    <mergeCell ref="B27:E28"/>
    <mergeCell ref="Z23:AB23"/>
    <mergeCell ref="AF22:AG22"/>
    <mergeCell ref="O27:Y27"/>
    <mergeCell ref="F28:H28"/>
    <mergeCell ref="O28:R28"/>
    <mergeCell ref="S28:V28"/>
    <mergeCell ref="W20:Y20"/>
    <mergeCell ref="O22:P22"/>
    <mergeCell ref="T19:V19"/>
    <mergeCell ref="T20:V20"/>
    <mergeCell ref="O19:P19"/>
    <mergeCell ref="O20:P20"/>
    <mergeCell ref="Q19:S19"/>
    <mergeCell ref="W19:Y19"/>
    <mergeCell ref="Q21:S21"/>
    <mergeCell ref="Q22:S22"/>
    <mergeCell ref="Q20:S20"/>
    <mergeCell ref="Q15:S15"/>
    <mergeCell ref="Q16:S16"/>
    <mergeCell ref="Q17:S17"/>
    <mergeCell ref="Q18:S18"/>
    <mergeCell ref="B20:E20"/>
    <mergeCell ref="J20:L20"/>
    <mergeCell ref="M19:N19"/>
    <mergeCell ref="J18:L18"/>
    <mergeCell ref="F19:I19"/>
    <mergeCell ref="B19:E19"/>
    <mergeCell ref="J19:L19"/>
    <mergeCell ref="M20:N20"/>
    <mergeCell ref="F18:I18"/>
    <mergeCell ref="B30:E30"/>
    <mergeCell ref="B31:E31"/>
    <mergeCell ref="J23:L23"/>
    <mergeCell ref="M21:N21"/>
    <mergeCell ref="F23:I23"/>
    <mergeCell ref="J21:L21"/>
    <mergeCell ref="L30:N30"/>
    <mergeCell ref="M22:N22"/>
    <mergeCell ref="I28:K28"/>
    <mergeCell ref="L28:N28"/>
    <mergeCell ref="F29:H29"/>
    <mergeCell ref="F30:H30"/>
    <mergeCell ref="F31:H31"/>
    <mergeCell ref="F32:H32"/>
    <mergeCell ref="AK15:AM15"/>
    <mergeCell ref="AK16:AM16"/>
    <mergeCell ref="AK17:AM17"/>
    <mergeCell ref="F21:I21"/>
    <mergeCell ref="T18:V18"/>
    <mergeCell ref="W15:Y15"/>
    <mergeCell ref="W16:Y16"/>
    <mergeCell ref="W17:Y17"/>
    <mergeCell ref="W18:Y18"/>
    <mergeCell ref="T15:V15"/>
    <mergeCell ref="AF18:AG18"/>
    <mergeCell ref="AF19:AG19"/>
    <mergeCell ref="AH15:AJ15"/>
    <mergeCell ref="AH16:AJ16"/>
    <mergeCell ref="AH17:AJ17"/>
    <mergeCell ref="Z18:AB18"/>
    <mergeCell ref="AQ13:AS14"/>
    <mergeCell ref="AC17:AE17"/>
    <mergeCell ref="AC18:AE18"/>
    <mergeCell ref="AK18:AM18"/>
    <mergeCell ref="AN13:AP14"/>
    <mergeCell ref="AF15:AG15"/>
    <mergeCell ref="AF16:AG16"/>
    <mergeCell ref="Z15:AB15"/>
    <mergeCell ref="Z16:AB16"/>
    <mergeCell ref="AT18:AX18"/>
    <mergeCell ref="AH18:AJ18"/>
    <mergeCell ref="AN15:AP15"/>
    <mergeCell ref="AN16:AP16"/>
    <mergeCell ref="AN17:AP17"/>
    <mergeCell ref="AN18:AP18"/>
    <mergeCell ref="AT17:AX17"/>
    <mergeCell ref="AT15:AX15"/>
    <mergeCell ref="AT16:AX16"/>
    <mergeCell ref="AQ15:AS15"/>
    <mergeCell ref="AK19:AM19"/>
    <mergeCell ref="AK20:AM20"/>
    <mergeCell ref="AQ16:AS16"/>
    <mergeCell ref="AQ17:AS17"/>
    <mergeCell ref="AQ18:AS18"/>
    <mergeCell ref="T17:V17"/>
    <mergeCell ref="Z14:AB14"/>
    <mergeCell ref="AT12:AX14"/>
    <mergeCell ref="AF12:AG14"/>
    <mergeCell ref="Z17:AB17"/>
    <mergeCell ref="AF17:AG17"/>
    <mergeCell ref="Q12:AB12"/>
    <mergeCell ref="W13:AB13"/>
    <mergeCell ref="W14:Y14"/>
    <mergeCell ref="AH13:AJ14"/>
    <mergeCell ref="B15:E15"/>
    <mergeCell ref="B16:E16"/>
    <mergeCell ref="J16:L16"/>
    <mergeCell ref="T16:V16"/>
    <mergeCell ref="J15:L15"/>
    <mergeCell ref="M15:N15"/>
    <mergeCell ref="F15:I15"/>
    <mergeCell ref="O15:P15"/>
    <mergeCell ref="M12:N14"/>
    <mergeCell ref="B11:AX11"/>
    <mergeCell ref="B12:E14"/>
    <mergeCell ref="AC12:AE14"/>
    <mergeCell ref="J12:L14"/>
    <mergeCell ref="AK13:AM14"/>
    <mergeCell ref="Q13:V13"/>
    <mergeCell ref="Q14:S14"/>
    <mergeCell ref="O12:P14"/>
    <mergeCell ref="T14:V14"/>
    <mergeCell ref="AL37:AX37"/>
    <mergeCell ref="B22:E22"/>
    <mergeCell ref="F22:I22"/>
    <mergeCell ref="W22:Y22"/>
    <mergeCell ref="B23:E23"/>
    <mergeCell ref="AL26:AX26"/>
    <mergeCell ref="AL27:AX27"/>
    <mergeCell ref="AT23:AX23"/>
    <mergeCell ref="B32:E32"/>
    <mergeCell ref="F27:N27"/>
    <mergeCell ref="AT31:AX31"/>
    <mergeCell ref="AL28:AX28"/>
    <mergeCell ref="AL35:AX35"/>
    <mergeCell ref="AL36:AX36"/>
    <mergeCell ref="AL29:AX29"/>
    <mergeCell ref="AL32:AO32"/>
    <mergeCell ref="AL33:AO33"/>
    <mergeCell ref="AL34:AO34"/>
    <mergeCell ref="AP31:AS31"/>
    <mergeCell ref="AP32:AS32"/>
    <mergeCell ref="AT20:AX20"/>
    <mergeCell ref="AN19:AP19"/>
    <mergeCell ref="AN20:AP20"/>
    <mergeCell ref="AQ20:AS20"/>
    <mergeCell ref="AT19:AX19"/>
    <mergeCell ref="AQ19:AS19"/>
    <mergeCell ref="AL31:AO31"/>
    <mergeCell ref="AT21:AX21"/>
    <mergeCell ref="AT22:AX22"/>
    <mergeCell ref="AK23:AM23"/>
    <mergeCell ref="AQ23:AS23"/>
    <mergeCell ref="AN21:AP21"/>
    <mergeCell ref="AQ22:AS22"/>
    <mergeCell ref="AK21:AM21"/>
    <mergeCell ref="AK22:AM22"/>
    <mergeCell ref="AN23:AP23"/>
  </mergeCells>
  <conditionalFormatting sqref="AN15:AP23 AH15:AJ23 Q15:S23 W15:Y23">
    <cfRule type="expression" priority="1" dxfId="0" stopIfTrue="1">
      <formula>ABS(T15)*1&lt;ABS(Q15)*1</formula>
    </cfRule>
  </conditionalFormatting>
  <conditionalFormatting sqref="AT15:AX23">
    <cfRule type="expression" priority="2" dxfId="1" stopIfTrue="1">
      <formula>T15="路線を選択"</formula>
    </cfRule>
    <cfRule type="expression" priority="3" dxfId="2" stopIfTrue="1">
      <formula>$BH15=5</formula>
    </cfRule>
  </conditionalFormatting>
  <conditionalFormatting sqref="J15:L23">
    <cfRule type="expression" priority="4" dxfId="3" stopIfTrue="1">
      <formula>T15=$BD$11</formula>
    </cfRule>
  </conditionalFormatting>
  <conditionalFormatting sqref="O15:P23">
    <cfRule type="expression" priority="5" dxfId="3" stopIfTrue="1">
      <formula>T15=$BD$12</formula>
    </cfRule>
  </conditionalFormatting>
  <conditionalFormatting sqref="F5">
    <cfRule type="cellIs" priority="6" dxfId="4" operator="equal" stopIfTrue="1">
      <formula>$BF$9</formula>
    </cfRule>
  </conditionalFormatting>
  <conditionalFormatting sqref="O29:V37 Z29:AG37">
    <cfRule type="expression" priority="7" dxfId="4" stopIfTrue="1">
      <formula>OR(LEFT(RIGHT(O29,3),1)&lt;&gt;"-",LEFT(RIGHT(O29,6),1)&lt;&gt;"-")</formula>
    </cfRule>
  </conditionalFormatting>
  <conditionalFormatting sqref="X29:Y29 W29:W37 AH29:AH37 AI29:AJ29">
    <cfRule type="cellIs" priority="8" dxfId="4" operator="equal" stopIfTrue="1">
      <formula>"書式エラー"</formula>
    </cfRule>
  </conditionalFormatting>
  <conditionalFormatting sqref="AR15:AS15 AQ15:AQ23 AL15:AM15 AK15:AK23">
    <cfRule type="expression" priority="9" dxfId="4" stopIfTrue="1">
      <formula>OR(AK15="等級を選択",AK15="路線を選択")</formula>
    </cfRule>
  </conditionalFormatting>
  <conditionalFormatting sqref="T15:V23 Z15:AB23">
    <cfRule type="expression" priority="10" dxfId="4" stopIfTrue="1">
      <formula>OR(T15=$BD$10,T15=$BD$13,T15=$BD$12,T15="等級を選択",T15=$BD$11)</formula>
    </cfRule>
  </conditionalFormatting>
  <dataValidations count="3">
    <dataValidation type="list" allowBlank="1" showInputMessage="1" showErrorMessage="1" sqref="F5">
      <formula1>$BF$9:$BF$13</formula1>
    </dataValidation>
    <dataValidation allowBlank="1" showInputMessage="1" showErrorMessage="1" imeMode="off" sqref="O29:V37 Z29:AG37"/>
    <dataValidation type="list" allowBlank="1" showInputMessage="1" showErrorMessage="1" sqref="AT15:AX23">
      <formula1>IF($BH15=5,$BG$14,$BG$20:$BG$23)</formula1>
    </dataValidation>
  </dataValidations>
  <printOptions horizontalCentered="1"/>
  <pageMargins left="0.3937007874015748" right="0.3937007874015748" top="0.7874015748031497" bottom="0.1968503937007874" header="0.3937007874015748" footer="0.3937007874015748"/>
  <pageSetup blackAndWhite="1"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41"/>
    <pageSetUpPr fitToPage="1"/>
  </sheetPr>
  <dimension ref="A1:CP42"/>
  <sheetViews>
    <sheetView showGridLines="0" showRowColHeaders="0" workbookViewId="0" topLeftCell="A1">
      <selection activeCell="A1" sqref="A1"/>
    </sheetView>
  </sheetViews>
  <sheetFormatPr defaultColWidth="8.625" defaultRowHeight="13.5"/>
  <cols>
    <col min="1" max="1" width="5.00390625" style="0" customWidth="1"/>
    <col min="2" max="21" width="2.875" style="0" customWidth="1"/>
    <col min="22" max="24" width="2.875" style="7" customWidth="1"/>
    <col min="25" max="50" width="2.875" style="0" customWidth="1"/>
    <col min="51" max="53" width="10.00390625" style="0" customWidth="1"/>
    <col min="54" max="54" width="20.625" style="124" hidden="1" customWidth="1"/>
    <col min="55" max="55" width="19.25390625" style="124" hidden="1" customWidth="1"/>
    <col min="56" max="56" width="21.875" style="124" hidden="1" customWidth="1"/>
    <col min="57" max="57" width="12.50390625" style="110" customWidth="1"/>
    <col min="58" max="16384" width="1.75390625" style="0" customWidth="1"/>
  </cols>
  <sheetData>
    <row r="1" spans="2:50" ht="21" customHeight="1">
      <c r="B1" s="470"/>
      <c r="C1" s="470"/>
      <c r="D1" s="470"/>
      <c r="E1" s="470"/>
      <c r="F1" s="470"/>
      <c r="G1" s="470"/>
      <c r="H1" s="470"/>
      <c r="I1" s="470"/>
      <c r="J1" s="470"/>
      <c r="K1" s="470"/>
      <c r="L1" s="470"/>
      <c r="M1" s="470"/>
      <c r="N1" s="470"/>
      <c r="O1" s="470"/>
      <c r="P1" s="470"/>
      <c r="Q1" s="470"/>
      <c r="R1" s="470"/>
      <c r="S1" s="470"/>
      <c r="T1" s="470"/>
      <c r="U1" s="470"/>
      <c r="V1" s="470"/>
      <c r="W1" s="470"/>
      <c r="X1" s="470"/>
      <c r="Y1" s="470"/>
      <c r="Z1" s="470"/>
      <c r="AA1" s="470"/>
      <c r="AB1" s="470"/>
      <c r="AC1" s="470"/>
      <c r="AD1" s="470"/>
      <c r="AE1" s="470"/>
      <c r="AF1" s="470"/>
      <c r="AG1" s="470"/>
      <c r="AH1" s="470"/>
      <c r="AI1" s="470"/>
      <c r="AJ1" s="470"/>
      <c r="AK1" s="470"/>
      <c r="AL1" s="470"/>
      <c r="AM1" s="470"/>
      <c r="AN1" s="470"/>
      <c r="AO1" s="470"/>
      <c r="AP1" s="470"/>
      <c r="AQ1" s="470"/>
      <c r="AR1" s="470"/>
      <c r="AS1" s="470"/>
      <c r="AT1" s="470"/>
      <c r="AU1" s="470"/>
      <c r="AV1" s="470"/>
      <c r="AW1" s="470"/>
      <c r="AX1" s="470"/>
    </row>
    <row r="2" spans="2:50" ht="24" customHeight="1">
      <c r="B2" s="488" t="s">
        <v>388</v>
      </c>
      <c r="C2" s="488"/>
      <c r="D2" s="488"/>
      <c r="E2" s="488"/>
      <c r="F2" s="475" t="s">
        <v>408</v>
      </c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</row>
    <row r="3" spans="2:50" ht="21" customHeight="1">
      <c r="B3" s="458" t="s">
        <v>44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AX3" s="458"/>
    </row>
    <row r="4" spans="2:50" ht="21" customHeight="1" thickBot="1">
      <c r="B4" s="470"/>
      <c r="C4" s="470"/>
      <c r="D4" s="470"/>
      <c r="E4" s="470"/>
      <c r="F4" s="470"/>
      <c r="G4" s="470"/>
      <c r="H4" s="470"/>
      <c r="I4" s="470"/>
      <c r="J4" s="470"/>
      <c r="K4" s="470"/>
      <c r="L4" s="470"/>
      <c r="M4" s="470"/>
      <c r="N4" s="470"/>
      <c r="O4" s="470"/>
      <c r="P4" s="470"/>
      <c r="Q4" s="470"/>
      <c r="R4" s="470"/>
      <c r="S4" s="470"/>
      <c r="T4" s="470"/>
      <c r="U4" s="470"/>
      <c r="V4" s="470"/>
      <c r="W4" s="470"/>
      <c r="X4" s="470"/>
      <c r="Y4" s="470"/>
      <c r="Z4" s="470"/>
      <c r="AA4" s="470"/>
      <c r="AB4" s="470"/>
      <c r="AC4" s="470"/>
      <c r="AD4" s="470"/>
      <c r="AE4" s="470"/>
      <c r="AF4" s="470"/>
      <c r="AG4" s="470"/>
      <c r="AH4" s="470"/>
      <c r="AI4" s="470"/>
      <c r="AJ4" s="470"/>
      <c r="AK4" s="470"/>
      <c r="AL4" s="470"/>
      <c r="AM4" s="470"/>
      <c r="AN4" s="470"/>
      <c r="AO4" s="470"/>
      <c r="AP4" s="470"/>
      <c r="AQ4" s="470"/>
      <c r="AR4" s="470"/>
      <c r="AS4" s="470"/>
      <c r="AT4" s="470"/>
      <c r="AU4" s="470"/>
      <c r="AV4" s="470"/>
      <c r="AW4" s="470"/>
      <c r="AX4" s="470"/>
    </row>
    <row r="5" spans="2:50" ht="24" customHeight="1" thickBot="1">
      <c r="B5" s="463" t="s">
        <v>84</v>
      </c>
      <c r="C5" s="464"/>
      <c r="D5" s="464"/>
      <c r="E5" s="465"/>
      <c r="F5" s="472" t="s">
        <v>219</v>
      </c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4"/>
      <c r="U5" s="495"/>
      <c r="V5" s="495"/>
      <c r="W5" s="495"/>
      <c r="X5" s="495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495"/>
      <c r="AM5" s="495"/>
      <c r="AN5" s="495"/>
      <c r="AO5" s="495"/>
      <c r="AP5" s="495"/>
      <c r="AQ5" s="495"/>
      <c r="AR5" s="495"/>
      <c r="AS5" s="495"/>
      <c r="AT5" s="495"/>
      <c r="AU5" s="495"/>
      <c r="AV5" s="495"/>
      <c r="AW5" s="495"/>
      <c r="AX5" s="495"/>
    </row>
    <row r="6" spans="2:50" ht="21" customHeight="1">
      <c r="B6" s="495"/>
      <c r="C6" s="495"/>
      <c r="D6" s="495"/>
      <c r="E6" s="495"/>
      <c r="F6" s="495"/>
      <c r="G6" s="495"/>
      <c r="H6" s="495"/>
      <c r="I6" s="495"/>
      <c r="J6" s="495"/>
      <c r="K6" s="495"/>
      <c r="L6" s="495"/>
      <c r="M6" s="495"/>
      <c r="N6" s="495"/>
      <c r="O6" s="495"/>
      <c r="P6" s="495"/>
      <c r="Q6" s="495"/>
      <c r="R6" s="495"/>
      <c r="S6" s="495"/>
      <c r="T6" s="495"/>
      <c r="U6" s="495"/>
      <c r="V6" s="495"/>
      <c r="W6" s="495"/>
      <c r="X6" s="495"/>
      <c r="Y6" s="495"/>
      <c r="Z6" s="495"/>
      <c r="AA6" s="495"/>
      <c r="AB6" s="495"/>
      <c r="AC6" s="495"/>
      <c r="AD6" s="495"/>
      <c r="AE6" s="495"/>
      <c r="AF6" s="495"/>
      <c r="AG6" s="495"/>
      <c r="AH6" s="495"/>
      <c r="AI6" s="495"/>
      <c r="AJ6" s="495"/>
      <c r="AK6" s="495"/>
      <c r="AL6" s="495"/>
      <c r="AM6" s="495"/>
      <c r="AN6" s="495"/>
      <c r="AO6" s="495"/>
      <c r="AP6" s="495"/>
      <c r="AQ6" s="495"/>
      <c r="AR6" s="495"/>
      <c r="AS6" s="495"/>
      <c r="AT6" s="495"/>
      <c r="AU6" s="495"/>
      <c r="AV6" s="495"/>
      <c r="AW6" s="495"/>
      <c r="AX6" s="495"/>
    </row>
    <row r="7" spans="2:50" ht="30" customHeight="1">
      <c r="B7" s="462" t="str">
        <f>IF(BC15&lt;&gt;0,F5&amp;" 精 度 管 理 表",BB9)</f>
        <v>4 級 基 準 点 測 量 精 度 管 理 表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</row>
    <row r="8" spans="2:50" ht="18.75" customHeight="1">
      <c r="B8" s="506" t="s">
        <v>110</v>
      </c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</row>
    <row r="9" spans="1:56" ht="30" customHeight="1">
      <c r="A9" s="4"/>
      <c r="B9" s="369" t="s">
        <v>45</v>
      </c>
      <c r="C9" s="370"/>
      <c r="D9" s="371"/>
      <c r="E9" s="508" t="str">
        <f>IF($BK$12=1,"",IF('業務情報'!$C$3="","",'業務情報'!$C$3))</f>
        <v>平成２６年度
○○測量業務</v>
      </c>
      <c r="F9" s="509"/>
      <c r="G9" s="509"/>
      <c r="H9" s="509"/>
      <c r="I9" s="509"/>
      <c r="J9" s="509"/>
      <c r="K9" s="509"/>
      <c r="L9" s="510"/>
      <c r="M9" s="370" t="s">
        <v>145</v>
      </c>
      <c r="N9" s="370"/>
      <c r="O9" s="370"/>
      <c r="P9" s="500" t="str">
        <f>IF($BJ$12=1,"",IF('業務情報'!$C$6="","",'業務情報'!$C$6))</f>
        <v>○○市　○○地区</v>
      </c>
      <c r="Q9" s="501"/>
      <c r="R9" s="501"/>
      <c r="S9" s="501"/>
      <c r="T9" s="501"/>
      <c r="U9" s="501"/>
      <c r="V9" s="502"/>
      <c r="W9" s="370" t="s">
        <v>126</v>
      </c>
      <c r="X9" s="370"/>
      <c r="Y9" s="370"/>
      <c r="Z9" s="503" t="str">
        <f>IF($BJ$12=1,"",IF('業務情報'!$E$3="","",'業務情報'!$E$3))</f>
        <v>○○地方整備局
○○事務所</v>
      </c>
      <c r="AA9" s="504"/>
      <c r="AB9" s="504"/>
      <c r="AC9" s="504"/>
      <c r="AD9" s="504"/>
      <c r="AE9" s="504"/>
      <c r="AF9" s="505"/>
      <c r="AG9" s="369" t="s">
        <v>170</v>
      </c>
      <c r="AH9" s="370"/>
      <c r="AI9" s="371"/>
      <c r="AJ9" s="501" t="str">
        <f>IF($BJ$12=1,"",IF('業務情報'!$E$4="","",'業務情報'!$E$4))</f>
        <v>（有）サーベイテック</v>
      </c>
      <c r="AK9" s="501"/>
      <c r="AL9" s="501"/>
      <c r="AM9" s="501"/>
      <c r="AN9" s="501"/>
      <c r="AO9" s="501"/>
      <c r="AP9" s="369" t="s">
        <v>48</v>
      </c>
      <c r="AQ9" s="370"/>
      <c r="AR9" s="371"/>
      <c r="AS9" s="507" t="str">
        <f>IF($BJ$12=1,"",IF('業務情報'!$G$4="","",'業務情報'!$G$4))</f>
        <v>曽木亜　説戸</v>
      </c>
      <c r="AT9" s="496"/>
      <c r="AU9" s="496"/>
      <c r="AV9" s="496"/>
      <c r="AW9" s="496"/>
      <c r="AX9" s="140" t="s">
        <v>125</v>
      </c>
      <c r="BB9" s="125" t="s">
        <v>122</v>
      </c>
      <c r="BC9" s="91" t="s">
        <v>213</v>
      </c>
      <c r="BD9" s="91" t="s">
        <v>214</v>
      </c>
    </row>
    <row r="10" spans="1:56" ht="30" customHeight="1">
      <c r="A10" s="9"/>
      <c r="B10" s="369" t="s">
        <v>88</v>
      </c>
      <c r="C10" s="370"/>
      <c r="D10" s="371"/>
      <c r="E10" s="496" t="str">
        <f>IF($BK$12=1,"",IF('業務情報'!$C$4="","",'業務情報'!$C$4))</f>
        <v>道路整備計画</v>
      </c>
      <c r="F10" s="496"/>
      <c r="G10" s="496"/>
      <c r="H10" s="496"/>
      <c r="I10" s="496"/>
      <c r="J10" s="496"/>
      <c r="K10" s="496"/>
      <c r="L10" s="497"/>
      <c r="M10" s="370" t="s">
        <v>146</v>
      </c>
      <c r="N10" s="370"/>
      <c r="O10" s="370"/>
      <c r="P10" s="503" t="str">
        <f>IF($BJ$12=1,"",IF('業務情報'!$E$5="","",'業務情報'!$E$5))</f>
        <v>自 平成26年10月10日
至 平成27年3月15日</v>
      </c>
      <c r="Q10" s="504"/>
      <c r="R10" s="504"/>
      <c r="S10" s="504"/>
      <c r="T10" s="504"/>
      <c r="U10" s="504"/>
      <c r="V10" s="505"/>
      <c r="W10" s="370" t="s">
        <v>104</v>
      </c>
      <c r="X10" s="370"/>
      <c r="Y10" s="370"/>
      <c r="Z10" s="467" t="s">
        <v>685</v>
      </c>
      <c r="AA10" s="468"/>
      <c r="AB10" s="468"/>
      <c r="AC10" s="468"/>
      <c r="AD10" s="468"/>
      <c r="AE10" s="468"/>
      <c r="AF10" s="469"/>
      <c r="AG10" s="369" t="s">
        <v>511</v>
      </c>
      <c r="AH10" s="370"/>
      <c r="AI10" s="371"/>
      <c r="AJ10" s="498" t="str">
        <f>IF($BJ$12=1,"",IF('業務情報'!$G$3="","",'業務情報'!$G$3))</f>
        <v>兎位瑠度　逓津宇</v>
      </c>
      <c r="AK10" s="499"/>
      <c r="AL10" s="499"/>
      <c r="AM10" s="499"/>
      <c r="AN10" s="499"/>
      <c r="AO10" s="139" t="s">
        <v>125</v>
      </c>
      <c r="AP10" s="369" t="s">
        <v>52</v>
      </c>
      <c r="AQ10" s="370"/>
      <c r="AR10" s="371"/>
      <c r="AS10" s="511"/>
      <c r="AT10" s="511"/>
      <c r="AU10" s="511"/>
      <c r="AV10" s="511"/>
      <c r="AW10" s="511"/>
      <c r="AX10" s="512"/>
      <c r="BB10" s="126" t="s">
        <v>216</v>
      </c>
      <c r="BC10" s="92">
        <v>10</v>
      </c>
      <c r="BD10" s="92">
        <v>12</v>
      </c>
    </row>
    <row r="11" spans="1:56" ht="12" customHeight="1">
      <c r="A11" s="9"/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316"/>
      <c r="R11" s="316"/>
      <c r="S11" s="316"/>
      <c r="T11" s="316"/>
      <c r="U11" s="316"/>
      <c r="V11" s="316"/>
      <c r="W11" s="316"/>
      <c r="X11" s="316"/>
      <c r="Y11" s="316"/>
      <c r="Z11" s="316"/>
      <c r="AA11" s="316"/>
      <c r="AB11" s="316"/>
      <c r="AC11" s="316"/>
      <c r="AD11" s="316"/>
      <c r="AE11" s="316"/>
      <c r="AF11" s="316"/>
      <c r="AG11" s="316"/>
      <c r="AH11" s="316"/>
      <c r="AI11" s="316"/>
      <c r="AJ11" s="316"/>
      <c r="AK11" s="316"/>
      <c r="AL11" s="316"/>
      <c r="AM11" s="316"/>
      <c r="AN11" s="316"/>
      <c r="AO11" s="316"/>
      <c r="AP11" s="316"/>
      <c r="AQ11" s="316"/>
      <c r="AR11" s="316"/>
      <c r="AS11" s="316"/>
      <c r="AT11" s="316"/>
      <c r="AU11" s="316"/>
      <c r="AV11" s="316"/>
      <c r="AW11" s="316"/>
      <c r="AX11" s="316"/>
      <c r="BB11" s="126" t="s">
        <v>217</v>
      </c>
      <c r="BC11" s="92">
        <v>12</v>
      </c>
      <c r="BD11" s="92">
        <v>15</v>
      </c>
    </row>
    <row r="12" spans="1:92" s="9" customFormat="1" ht="18" customHeight="1">
      <c r="A12" s="4"/>
      <c r="B12" s="323" t="s">
        <v>71</v>
      </c>
      <c r="C12" s="317"/>
      <c r="D12" s="317"/>
      <c r="E12" s="324"/>
      <c r="F12" s="317" t="s">
        <v>420</v>
      </c>
      <c r="G12" s="317"/>
      <c r="H12" s="317"/>
      <c r="I12" s="324"/>
      <c r="J12" s="315" t="s">
        <v>421</v>
      </c>
      <c r="K12" s="312"/>
      <c r="L12" s="313"/>
      <c r="M12" s="323" t="s">
        <v>152</v>
      </c>
      <c r="N12" s="324"/>
      <c r="O12" s="323" t="s">
        <v>153</v>
      </c>
      <c r="P12" s="324"/>
      <c r="Q12" s="369" t="s">
        <v>423</v>
      </c>
      <c r="R12" s="370"/>
      <c r="S12" s="370"/>
      <c r="T12" s="370"/>
      <c r="U12" s="370"/>
      <c r="V12" s="370"/>
      <c r="W12" s="370"/>
      <c r="X12" s="370"/>
      <c r="Y12" s="370"/>
      <c r="Z12" s="370"/>
      <c r="AA12" s="370"/>
      <c r="AB12" s="371"/>
      <c r="AC12" s="323" t="s">
        <v>425</v>
      </c>
      <c r="AD12" s="317"/>
      <c r="AE12" s="324"/>
      <c r="AF12" s="323" t="s">
        <v>156</v>
      </c>
      <c r="AG12" s="324"/>
      <c r="AH12" s="369" t="s">
        <v>426</v>
      </c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1"/>
      <c r="AT12" s="386" t="s">
        <v>171</v>
      </c>
      <c r="AU12" s="387"/>
      <c r="AV12" s="387"/>
      <c r="AW12" s="387"/>
      <c r="AX12" s="388"/>
      <c r="AY12"/>
      <c r="AZ12"/>
      <c r="BA12" s="1"/>
      <c r="BB12" s="126" t="s">
        <v>218</v>
      </c>
      <c r="BC12" s="92">
        <v>15</v>
      </c>
      <c r="BD12" s="92">
        <v>20</v>
      </c>
      <c r="BE12" s="110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</row>
    <row r="13" spans="1:94" s="9" customFormat="1" ht="18" customHeight="1">
      <c r="A13" s="4"/>
      <c r="B13" s="322"/>
      <c r="C13" s="318"/>
      <c r="D13" s="318"/>
      <c r="E13" s="320"/>
      <c r="F13" s="318"/>
      <c r="G13" s="318"/>
      <c r="H13" s="318"/>
      <c r="I13" s="320"/>
      <c r="J13" s="311"/>
      <c r="K13" s="309"/>
      <c r="L13" s="310"/>
      <c r="M13" s="322"/>
      <c r="N13" s="320"/>
      <c r="O13" s="322"/>
      <c r="P13" s="320"/>
      <c r="Q13" s="369" t="s">
        <v>422</v>
      </c>
      <c r="R13" s="370"/>
      <c r="S13" s="370"/>
      <c r="T13" s="370"/>
      <c r="U13" s="370"/>
      <c r="V13" s="371"/>
      <c r="W13" s="369" t="s">
        <v>424</v>
      </c>
      <c r="X13" s="370"/>
      <c r="Y13" s="370"/>
      <c r="Z13" s="370"/>
      <c r="AA13" s="370"/>
      <c r="AB13" s="371"/>
      <c r="AC13" s="322"/>
      <c r="AD13" s="318"/>
      <c r="AE13" s="320"/>
      <c r="AF13" s="322"/>
      <c r="AG13" s="320"/>
      <c r="AH13" s="558" t="s">
        <v>210</v>
      </c>
      <c r="AI13" s="559"/>
      <c r="AJ13" s="560"/>
      <c r="AK13" s="323" t="s">
        <v>173</v>
      </c>
      <c r="AL13" s="317"/>
      <c r="AM13" s="324"/>
      <c r="AN13" s="315" t="s">
        <v>211</v>
      </c>
      <c r="AO13" s="312"/>
      <c r="AP13" s="313"/>
      <c r="AQ13" s="318" t="s">
        <v>173</v>
      </c>
      <c r="AR13" s="318"/>
      <c r="AS13" s="320"/>
      <c r="AT13" s="389"/>
      <c r="AU13" s="390"/>
      <c r="AV13" s="390"/>
      <c r="AW13" s="390"/>
      <c r="AX13" s="391"/>
      <c r="AY13"/>
      <c r="AZ13"/>
      <c r="BA13" s="1"/>
      <c r="BB13" s="134" t="s">
        <v>219</v>
      </c>
      <c r="BC13" s="93">
        <v>20</v>
      </c>
      <c r="BD13" s="93">
        <v>30</v>
      </c>
      <c r="BE13" s="110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</row>
    <row r="14" spans="1:56" ht="18" customHeight="1">
      <c r="A14" s="4"/>
      <c r="B14" s="321"/>
      <c r="C14" s="314"/>
      <c r="D14" s="314"/>
      <c r="E14" s="319"/>
      <c r="F14" s="314"/>
      <c r="G14" s="314"/>
      <c r="H14" s="314"/>
      <c r="I14" s="319"/>
      <c r="J14" s="308"/>
      <c r="K14" s="374"/>
      <c r="L14" s="375"/>
      <c r="M14" s="321"/>
      <c r="N14" s="319"/>
      <c r="O14" s="321"/>
      <c r="P14" s="319"/>
      <c r="Q14" s="369" t="s">
        <v>105</v>
      </c>
      <c r="R14" s="370"/>
      <c r="S14" s="371"/>
      <c r="T14" s="323" t="s">
        <v>173</v>
      </c>
      <c r="U14" s="317"/>
      <c r="V14" s="324"/>
      <c r="W14" s="369" t="s">
        <v>105</v>
      </c>
      <c r="X14" s="370"/>
      <c r="Y14" s="371"/>
      <c r="Z14" s="314" t="s">
        <v>173</v>
      </c>
      <c r="AA14" s="314"/>
      <c r="AB14" s="319"/>
      <c r="AC14" s="321"/>
      <c r="AD14" s="314"/>
      <c r="AE14" s="319"/>
      <c r="AF14" s="321"/>
      <c r="AG14" s="319"/>
      <c r="AH14" s="561"/>
      <c r="AI14" s="562"/>
      <c r="AJ14" s="563"/>
      <c r="AK14" s="321"/>
      <c r="AL14" s="314"/>
      <c r="AM14" s="319"/>
      <c r="AN14" s="308"/>
      <c r="AO14" s="374"/>
      <c r="AP14" s="375"/>
      <c r="AQ14" s="314"/>
      <c r="AR14" s="314"/>
      <c r="AS14" s="319"/>
      <c r="AT14" s="392"/>
      <c r="AU14" s="393"/>
      <c r="AV14" s="393"/>
      <c r="AW14" s="393"/>
      <c r="AX14" s="394"/>
      <c r="BC14" s="90"/>
      <c r="BD14" s="110"/>
    </row>
    <row r="15" spans="1:56" ht="15.75" customHeight="1">
      <c r="A15" s="4"/>
      <c r="B15" s="540"/>
      <c r="C15" s="542"/>
      <c r="D15" s="542"/>
      <c r="E15" s="541"/>
      <c r="F15" s="540"/>
      <c r="G15" s="542"/>
      <c r="H15" s="542"/>
      <c r="I15" s="541"/>
      <c r="J15" s="492" t="s">
        <v>308</v>
      </c>
      <c r="K15" s="493"/>
      <c r="L15" s="494"/>
      <c r="M15" s="540"/>
      <c r="N15" s="541"/>
      <c r="O15" s="540"/>
      <c r="P15" s="541"/>
      <c r="Q15" s="492" t="s">
        <v>293</v>
      </c>
      <c r="R15" s="493"/>
      <c r="S15" s="493"/>
      <c r="T15" s="492" t="s">
        <v>296</v>
      </c>
      <c r="U15" s="493"/>
      <c r="V15" s="494"/>
      <c r="W15" s="493" t="s">
        <v>293</v>
      </c>
      <c r="X15" s="493"/>
      <c r="Y15" s="494"/>
      <c r="Z15" s="493" t="s">
        <v>296</v>
      </c>
      <c r="AA15" s="493"/>
      <c r="AB15" s="494"/>
      <c r="AC15" s="492" t="s">
        <v>294</v>
      </c>
      <c r="AD15" s="493"/>
      <c r="AE15" s="494"/>
      <c r="AF15" s="540"/>
      <c r="AG15" s="541"/>
      <c r="AH15" s="551" t="s">
        <v>295</v>
      </c>
      <c r="AI15" s="551"/>
      <c r="AJ15" s="552"/>
      <c r="AK15" s="564" t="s">
        <v>297</v>
      </c>
      <c r="AL15" s="551"/>
      <c r="AM15" s="552"/>
      <c r="AN15" s="551" t="s">
        <v>295</v>
      </c>
      <c r="AO15" s="551"/>
      <c r="AP15" s="552"/>
      <c r="AQ15" s="551" t="s">
        <v>297</v>
      </c>
      <c r="AR15" s="551"/>
      <c r="AS15" s="552"/>
      <c r="AT15" s="555"/>
      <c r="AU15" s="556"/>
      <c r="AV15" s="556"/>
      <c r="AW15" s="556"/>
      <c r="AX15" s="557"/>
      <c r="BB15" s="127">
        <f aca="true" t="shared" si="0" ref="BB15:BB23">IF(AT15=$BC$20,0,IF(AT15=$BC$21,1,IF(AT15=$BC$22,2,3)))</f>
        <v>0</v>
      </c>
      <c r="BC15" s="76">
        <f>IF(F5=BB9,0,IF(F5=BB10,1,IF(F5=BB11,2,IF(F5=BB12,3,IF(F5=BB13,4,"")))))</f>
        <v>4</v>
      </c>
      <c r="BD15" s="101">
        <f aca="true" t="shared" si="1" ref="BD15:BD23">IF(OR($B15="",$F15=""),5,IF($BC$15=0,1,IF($J15="",2,IF($O15="",3,IF($BB15=0,4,0)))))</f>
        <v>5</v>
      </c>
    </row>
    <row r="16" spans="1:56" ht="15.75" customHeight="1">
      <c r="A16" s="4"/>
      <c r="B16" s="372">
        <v>1</v>
      </c>
      <c r="C16" s="373"/>
      <c r="D16" s="373"/>
      <c r="E16" s="349"/>
      <c r="F16" s="372" t="s">
        <v>663</v>
      </c>
      <c r="G16" s="373"/>
      <c r="H16" s="373"/>
      <c r="I16" s="349"/>
      <c r="J16" s="379">
        <v>0.157</v>
      </c>
      <c r="K16" s="332"/>
      <c r="L16" s="330"/>
      <c r="M16" s="372">
        <v>3</v>
      </c>
      <c r="N16" s="349"/>
      <c r="O16" s="372">
        <v>4</v>
      </c>
      <c r="P16" s="349"/>
      <c r="Q16" s="537">
        <v>0.039</v>
      </c>
      <c r="R16" s="538"/>
      <c r="S16" s="539"/>
      <c r="T16" s="517">
        <f>IF(BD16=5,"",IF(BD16&lt;&gt;0,INDEX($BD$34:$BD$37,BD16,1),IF(BD16=0,IF(OR(BB16=1,BB16=2),ROUNDDOWN(INDEX($BB$28:$BB$31,$BC$15,1)+INDEX($BC$28:$BC$31,$BC$15,1)*J16*(O16^0.5),3),ROUNDDOWN(INDEX($BB$34:$BB$37,$BC$15,1)*J16*(O16^0.5),3)))))</f>
        <v>0.181</v>
      </c>
      <c r="U16" s="518"/>
      <c r="V16" s="519"/>
      <c r="W16" s="332">
        <v>0.003</v>
      </c>
      <c r="X16" s="332"/>
      <c r="Y16" s="330"/>
      <c r="Z16" s="517">
        <f aca="true" t="shared" si="2" ref="Z16:Z23">IF($BD16=5,"",IF($BD16&lt;&gt;0,INDEX($BD$34:$BD$37,$BD16,1),IF($BD16=0,IF(OR(BB16=1,BB16=2),ROUNDDOWN($BD$27+INDEX($BD$28:$BD$31,$BC$15,1)*J16/O16^0.5,3),ROUNDDOWN(INDEX($BD$28:$BD$31,$BC$15,1)*J16/O16^0.5,3)))))</f>
        <v>0.223</v>
      </c>
      <c r="AA16" s="518"/>
      <c r="AB16" s="519"/>
      <c r="AC16" s="379" t="s">
        <v>514</v>
      </c>
      <c r="AD16" s="332"/>
      <c r="AE16" s="330"/>
      <c r="AF16" s="372" t="s">
        <v>670</v>
      </c>
      <c r="AG16" s="349"/>
      <c r="AH16" s="553">
        <v>8</v>
      </c>
      <c r="AI16" s="553"/>
      <c r="AJ16" s="554"/>
      <c r="AK16" s="529">
        <f aca="true" t="shared" si="3" ref="AK16:AK23">IF($BD16=5,"",IF($AH16="","",IF($BC$15=0,"等級を選択",INDEX($BC$10:$BC$13,$BC$15,1))))</f>
        <v>20</v>
      </c>
      <c r="AL16" s="530"/>
      <c r="AM16" s="531"/>
      <c r="AN16" s="527">
        <v>6.91</v>
      </c>
      <c r="AO16" s="527"/>
      <c r="AP16" s="528"/>
      <c r="AQ16" s="529">
        <f aca="true" t="shared" si="4" ref="AQ16:AQ23">IF($BD16=5,"",IF($AN16="","",IF($BC$15=0,"等級を選択",INDEX($BD$10:$BD$13,$BC$15,1))))</f>
        <v>30</v>
      </c>
      <c r="AR16" s="530"/>
      <c r="AS16" s="531"/>
      <c r="AT16" s="372" t="s">
        <v>167</v>
      </c>
      <c r="AU16" s="373"/>
      <c r="AV16" s="373"/>
      <c r="AW16" s="373"/>
      <c r="AX16" s="349"/>
      <c r="BB16" s="108">
        <f t="shared" si="0"/>
        <v>2</v>
      </c>
      <c r="BD16" s="103">
        <f t="shared" si="1"/>
        <v>0</v>
      </c>
    </row>
    <row r="17" spans="1:56" ht="15.75" customHeight="1">
      <c r="A17" s="4"/>
      <c r="B17" s="372">
        <v>2</v>
      </c>
      <c r="C17" s="373"/>
      <c r="D17" s="373"/>
      <c r="E17" s="349"/>
      <c r="F17" s="372" t="s">
        <v>664</v>
      </c>
      <c r="G17" s="373"/>
      <c r="H17" s="373"/>
      <c r="I17" s="349"/>
      <c r="J17" s="379">
        <v>0.178276</v>
      </c>
      <c r="K17" s="332"/>
      <c r="L17" s="330"/>
      <c r="M17" s="372">
        <v>3</v>
      </c>
      <c r="N17" s="349"/>
      <c r="O17" s="372">
        <v>4</v>
      </c>
      <c r="P17" s="349"/>
      <c r="Q17" s="537">
        <v>0.02</v>
      </c>
      <c r="R17" s="538"/>
      <c r="S17" s="539"/>
      <c r="T17" s="517">
        <f aca="true" t="shared" si="5" ref="T17:T23">IF(BD17=5,"",IF(BD17&lt;&gt;0,INDEX($BD$34:$BD$37,BD17,1),IF(BD17=0,IF(OR(BB17=1,BB17=2),ROUNDDOWN(INDEX($BB$28:$BB$31,$BC$15,1)+INDEX($BC$28:$BC$31,$BC$15,1)*J17*(O17^0.5),3),ROUNDDOWN(INDEX($BB$34:$BB$37,$BC$15,1)*J17*(O17^0.5),3)))))</f>
        <v>0.185</v>
      </c>
      <c r="U17" s="518"/>
      <c r="V17" s="519"/>
      <c r="W17" s="332">
        <v>0.004</v>
      </c>
      <c r="X17" s="332"/>
      <c r="Y17" s="330"/>
      <c r="Z17" s="517">
        <f t="shared" si="2"/>
        <v>0.226</v>
      </c>
      <c r="AA17" s="518"/>
      <c r="AB17" s="519"/>
      <c r="AC17" s="379"/>
      <c r="AD17" s="332"/>
      <c r="AE17" s="330"/>
      <c r="AF17" s="372" t="s">
        <v>671</v>
      </c>
      <c r="AG17" s="349"/>
      <c r="AH17" s="527"/>
      <c r="AI17" s="527"/>
      <c r="AJ17" s="528"/>
      <c r="AK17" s="529">
        <f t="shared" si="3"/>
      </c>
      <c r="AL17" s="530"/>
      <c r="AM17" s="531"/>
      <c r="AN17" s="527"/>
      <c r="AO17" s="527"/>
      <c r="AP17" s="528"/>
      <c r="AQ17" s="529">
        <f t="shared" si="4"/>
      </c>
      <c r="AR17" s="530"/>
      <c r="AS17" s="531"/>
      <c r="AT17" s="372" t="s">
        <v>167</v>
      </c>
      <c r="AU17" s="373"/>
      <c r="AV17" s="373"/>
      <c r="AW17" s="373"/>
      <c r="AX17" s="349"/>
      <c r="BB17" s="108">
        <f t="shared" si="0"/>
        <v>2</v>
      </c>
      <c r="BC17" s="13"/>
      <c r="BD17" s="103">
        <f t="shared" si="1"/>
        <v>0</v>
      </c>
    </row>
    <row r="18" spans="1:56" ht="15.75" customHeight="1">
      <c r="A18" s="4"/>
      <c r="B18" s="372">
        <v>3</v>
      </c>
      <c r="C18" s="373"/>
      <c r="D18" s="373"/>
      <c r="E18" s="349"/>
      <c r="F18" s="372" t="s">
        <v>665</v>
      </c>
      <c r="G18" s="373"/>
      <c r="H18" s="373"/>
      <c r="I18" s="349"/>
      <c r="J18" s="379">
        <v>0.273809</v>
      </c>
      <c r="K18" s="332"/>
      <c r="L18" s="330"/>
      <c r="M18" s="372">
        <v>5</v>
      </c>
      <c r="N18" s="349"/>
      <c r="O18" s="372">
        <v>6</v>
      </c>
      <c r="P18" s="349"/>
      <c r="Q18" s="537">
        <v>0.041</v>
      </c>
      <c r="R18" s="538"/>
      <c r="S18" s="539"/>
      <c r="T18" s="517">
        <f t="shared" si="5"/>
        <v>0.217</v>
      </c>
      <c r="U18" s="518"/>
      <c r="V18" s="519"/>
      <c r="W18" s="332">
        <v>0.006</v>
      </c>
      <c r="X18" s="332"/>
      <c r="Y18" s="330"/>
      <c r="Z18" s="517">
        <f t="shared" si="2"/>
        <v>0.233</v>
      </c>
      <c r="AA18" s="518"/>
      <c r="AB18" s="519"/>
      <c r="AC18" s="379"/>
      <c r="AD18" s="332"/>
      <c r="AE18" s="330"/>
      <c r="AF18" s="372" t="s">
        <v>672</v>
      </c>
      <c r="AG18" s="349"/>
      <c r="AH18" s="527"/>
      <c r="AI18" s="527"/>
      <c r="AJ18" s="528"/>
      <c r="AK18" s="529">
        <f t="shared" si="3"/>
      </c>
      <c r="AL18" s="530"/>
      <c r="AM18" s="531"/>
      <c r="AN18" s="527"/>
      <c r="AO18" s="527"/>
      <c r="AP18" s="528"/>
      <c r="AQ18" s="529">
        <f t="shared" si="4"/>
      </c>
      <c r="AR18" s="530"/>
      <c r="AS18" s="531"/>
      <c r="AT18" s="372" t="s">
        <v>167</v>
      </c>
      <c r="AU18" s="373"/>
      <c r="AV18" s="373"/>
      <c r="AW18" s="373"/>
      <c r="AX18" s="349"/>
      <c r="BB18" s="108">
        <f t="shared" si="0"/>
        <v>2</v>
      </c>
      <c r="BD18" s="103">
        <f t="shared" si="1"/>
        <v>0</v>
      </c>
    </row>
    <row r="19" spans="1:56" ht="15.75" customHeight="1">
      <c r="A19" s="4"/>
      <c r="B19" s="372">
        <v>4</v>
      </c>
      <c r="C19" s="373"/>
      <c r="D19" s="373"/>
      <c r="E19" s="349"/>
      <c r="F19" s="372" t="s">
        <v>666</v>
      </c>
      <c r="G19" s="373"/>
      <c r="H19" s="373"/>
      <c r="I19" s="349"/>
      <c r="J19" s="379">
        <v>0.154978</v>
      </c>
      <c r="K19" s="332"/>
      <c r="L19" s="330"/>
      <c r="M19" s="372">
        <v>2</v>
      </c>
      <c r="N19" s="349"/>
      <c r="O19" s="372">
        <v>3</v>
      </c>
      <c r="P19" s="349"/>
      <c r="Q19" s="537">
        <v>0.016</v>
      </c>
      <c r="R19" s="538"/>
      <c r="S19" s="539"/>
      <c r="T19" s="517">
        <f t="shared" si="5"/>
        <v>0.176</v>
      </c>
      <c r="U19" s="518"/>
      <c r="V19" s="519"/>
      <c r="W19" s="332">
        <v>0.001</v>
      </c>
      <c r="X19" s="332"/>
      <c r="Y19" s="330"/>
      <c r="Z19" s="517">
        <f t="shared" si="2"/>
        <v>0.226</v>
      </c>
      <c r="AA19" s="518"/>
      <c r="AB19" s="519"/>
      <c r="AC19" s="379"/>
      <c r="AD19" s="332"/>
      <c r="AE19" s="330"/>
      <c r="AF19" s="372"/>
      <c r="AG19" s="349"/>
      <c r="AH19" s="527"/>
      <c r="AI19" s="527"/>
      <c r="AJ19" s="528"/>
      <c r="AK19" s="529">
        <f t="shared" si="3"/>
      </c>
      <c r="AL19" s="530"/>
      <c r="AM19" s="531"/>
      <c r="AN19" s="527"/>
      <c r="AO19" s="527"/>
      <c r="AP19" s="528"/>
      <c r="AQ19" s="529">
        <f t="shared" si="4"/>
      </c>
      <c r="AR19" s="530"/>
      <c r="AS19" s="531"/>
      <c r="AT19" s="372" t="s">
        <v>167</v>
      </c>
      <c r="AU19" s="373"/>
      <c r="AV19" s="373"/>
      <c r="AW19" s="373"/>
      <c r="AX19" s="349"/>
      <c r="BB19" s="108">
        <f t="shared" si="0"/>
        <v>2</v>
      </c>
      <c r="BD19" s="103">
        <f t="shared" si="1"/>
        <v>0</v>
      </c>
    </row>
    <row r="20" spans="1:56" ht="15.75" customHeight="1">
      <c r="A20" s="4"/>
      <c r="B20" s="372">
        <v>5</v>
      </c>
      <c r="C20" s="373"/>
      <c r="D20" s="373"/>
      <c r="E20" s="349"/>
      <c r="F20" s="372" t="s">
        <v>667</v>
      </c>
      <c r="G20" s="373"/>
      <c r="H20" s="373"/>
      <c r="I20" s="349"/>
      <c r="J20" s="379">
        <v>0.15416</v>
      </c>
      <c r="K20" s="332"/>
      <c r="L20" s="330"/>
      <c r="M20" s="372">
        <v>3</v>
      </c>
      <c r="N20" s="349"/>
      <c r="O20" s="372">
        <v>4</v>
      </c>
      <c r="P20" s="349"/>
      <c r="Q20" s="537">
        <v>0.062</v>
      </c>
      <c r="R20" s="538"/>
      <c r="S20" s="539"/>
      <c r="T20" s="517">
        <f t="shared" si="5"/>
        <v>0.18</v>
      </c>
      <c r="U20" s="518"/>
      <c r="V20" s="519"/>
      <c r="W20" s="332">
        <v>-0.002</v>
      </c>
      <c r="X20" s="332"/>
      <c r="Y20" s="330"/>
      <c r="Z20" s="517">
        <f t="shared" si="2"/>
        <v>0.223</v>
      </c>
      <c r="AA20" s="518"/>
      <c r="AB20" s="519"/>
      <c r="AC20" s="379"/>
      <c r="AD20" s="332"/>
      <c r="AE20" s="330"/>
      <c r="AF20" s="372"/>
      <c r="AG20" s="349"/>
      <c r="AH20" s="527"/>
      <c r="AI20" s="527"/>
      <c r="AJ20" s="528"/>
      <c r="AK20" s="529">
        <f t="shared" si="3"/>
      </c>
      <c r="AL20" s="530"/>
      <c r="AM20" s="531"/>
      <c r="AN20" s="527"/>
      <c r="AO20" s="527"/>
      <c r="AP20" s="528"/>
      <c r="AQ20" s="529">
        <f t="shared" si="4"/>
      </c>
      <c r="AR20" s="530"/>
      <c r="AS20" s="531"/>
      <c r="AT20" s="372" t="s">
        <v>167</v>
      </c>
      <c r="AU20" s="373"/>
      <c r="AV20" s="373"/>
      <c r="AW20" s="373"/>
      <c r="AX20" s="349"/>
      <c r="BB20" s="108">
        <f t="shared" si="0"/>
        <v>2</v>
      </c>
      <c r="BC20" s="155"/>
      <c r="BD20" s="103">
        <f t="shared" si="1"/>
        <v>0</v>
      </c>
    </row>
    <row r="21" spans="1:56" ht="15.75" customHeight="1">
      <c r="A21" s="4"/>
      <c r="B21" s="372">
        <v>6</v>
      </c>
      <c r="C21" s="373"/>
      <c r="D21" s="373"/>
      <c r="E21" s="349"/>
      <c r="F21" s="372" t="s">
        <v>668</v>
      </c>
      <c r="G21" s="373"/>
      <c r="H21" s="373"/>
      <c r="I21" s="349"/>
      <c r="J21" s="379">
        <v>0.097035</v>
      </c>
      <c r="K21" s="332"/>
      <c r="L21" s="330"/>
      <c r="M21" s="372">
        <v>2</v>
      </c>
      <c r="N21" s="349"/>
      <c r="O21" s="372">
        <v>3</v>
      </c>
      <c r="P21" s="349"/>
      <c r="Q21" s="537">
        <v>0.013</v>
      </c>
      <c r="R21" s="538"/>
      <c r="S21" s="539"/>
      <c r="T21" s="517">
        <f t="shared" si="5"/>
        <v>0.166</v>
      </c>
      <c r="U21" s="518"/>
      <c r="V21" s="519"/>
      <c r="W21" s="332">
        <v>0.004</v>
      </c>
      <c r="X21" s="332"/>
      <c r="Y21" s="330"/>
      <c r="Z21" s="517">
        <f t="shared" si="2"/>
        <v>0.216</v>
      </c>
      <c r="AA21" s="518"/>
      <c r="AB21" s="519"/>
      <c r="AC21" s="379"/>
      <c r="AD21" s="332"/>
      <c r="AE21" s="330"/>
      <c r="AF21" s="372"/>
      <c r="AG21" s="349"/>
      <c r="AH21" s="527"/>
      <c r="AI21" s="527"/>
      <c r="AJ21" s="528"/>
      <c r="AK21" s="529">
        <f t="shared" si="3"/>
      </c>
      <c r="AL21" s="530"/>
      <c r="AM21" s="531"/>
      <c r="AN21" s="527"/>
      <c r="AO21" s="527"/>
      <c r="AP21" s="528"/>
      <c r="AQ21" s="529">
        <f t="shared" si="4"/>
      </c>
      <c r="AR21" s="530"/>
      <c r="AS21" s="531"/>
      <c r="AT21" s="372" t="s">
        <v>167</v>
      </c>
      <c r="AU21" s="373"/>
      <c r="AV21" s="373"/>
      <c r="AW21" s="373"/>
      <c r="AX21" s="349"/>
      <c r="BB21" s="108">
        <f t="shared" si="0"/>
        <v>2</v>
      </c>
      <c r="BC21" s="156" t="s">
        <v>287</v>
      </c>
      <c r="BD21" s="103">
        <f t="shared" si="1"/>
        <v>0</v>
      </c>
    </row>
    <row r="22" spans="1:56" ht="15.75" customHeight="1">
      <c r="A22" s="4"/>
      <c r="B22" s="372">
        <v>7</v>
      </c>
      <c r="C22" s="373"/>
      <c r="D22" s="373"/>
      <c r="E22" s="349"/>
      <c r="F22" s="372" t="s">
        <v>666</v>
      </c>
      <c r="G22" s="373"/>
      <c r="H22" s="373"/>
      <c r="I22" s="349"/>
      <c r="J22" s="379">
        <v>0.154963</v>
      </c>
      <c r="K22" s="332"/>
      <c r="L22" s="330"/>
      <c r="M22" s="372">
        <v>2</v>
      </c>
      <c r="N22" s="349"/>
      <c r="O22" s="372">
        <v>3</v>
      </c>
      <c r="P22" s="349"/>
      <c r="Q22" s="537">
        <v>0.021</v>
      </c>
      <c r="R22" s="538"/>
      <c r="S22" s="539"/>
      <c r="T22" s="517">
        <f t="shared" si="5"/>
        <v>0.176</v>
      </c>
      <c r="U22" s="518"/>
      <c r="V22" s="519"/>
      <c r="W22" s="332">
        <v>0.001</v>
      </c>
      <c r="X22" s="332"/>
      <c r="Y22" s="330"/>
      <c r="Z22" s="517">
        <f t="shared" si="2"/>
        <v>0.226</v>
      </c>
      <c r="AA22" s="518"/>
      <c r="AB22" s="519"/>
      <c r="AC22" s="379"/>
      <c r="AD22" s="332"/>
      <c r="AE22" s="330"/>
      <c r="AF22" s="372"/>
      <c r="AG22" s="349"/>
      <c r="AH22" s="527"/>
      <c r="AI22" s="527"/>
      <c r="AJ22" s="528"/>
      <c r="AK22" s="529">
        <f t="shared" si="3"/>
      </c>
      <c r="AL22" s="530"/>
      <c r="AM22" s="531"/>
      <c r="AN22" s="527"/>
      <c r="AO22" s="527"/>
      <c r="AP22" s="528"/>
      <c r="AQ22" s="529">
        <f t="shared" si="4"/>
      </c>
      <c r="AR22" s="530"/>
      <c r="AS22" s="531"/>
      <c r="AT22" s="372" t="s">
        <v>167</v>
      </c>
      <c r="AU22" s="373"/>
      <c r="AV22" s="373"/>
      <c r="AW22" s="373"/>
      <c r="AX22" s="349"/>
      <c r="BB22" s="108">
        <f t="shared" si="0"/>
        <v>2</v>
      </c>
      <c r="BC22" s="156" t="s">
        <v>167</v>
      </c>
      <c r="BD22" s="103">
        <f t="shared" si="1"/>
        <v>0</v>
      </c>
    </row>
    <row r="23" spans="1:56" ht="15.75" customHeight="1">
      <c r="A23" s="4"/>
      <c r="B23" s="331">
        <v>8</v>
      </c>
      <c r="C23" s="328"/>
      <c r="D23" s="328"/>
      <c r="E23" s="329"/>
      <c r="F23" s="372" t="s">
        <v>669</v>
      </c>
      <c r="G23" s="373"/>
      <c r="H23" s="373"/>
      <c r="I23" s="349"/>
      <c r="J23" s="412">
        <v>0.219831</v>
      </c>
      <c r="K23" s="413"/>
      <c r="L23" s="414"/>
      <c r="M23" s="331">
        <v>4</v>
      </c>
      <c r="N23" s="329"/>
      <c r="O23" s="331">
        <v>5</v>
      </c>
      <c r="P23" s="329"/>
      <c r="Q23" s="521">
        <v>0.101</v>
      </c>
      <c r="R23" s="522"/>
      <c r="S23" s="523"/>
      <c r="T23" s="524">
        <f t="shared" si="5"/>
        <v>0.199</v>
      </c>
      <c r="U23" s="525"/>
      <c r="V23" s="526"/>
      <c r="W23" s="413">
        <v>0.001</v>
      </c>
      <c r="X23" s="413"/>
      <c r="Y23" s="414"/>
      <c r="Z23" s="524">
        <f t="shared" si="2"/>
        <v>0.229</v>
      </c>
      <c r="AA23" s="525"/>
      <c r="AB23" s="526"/>
      <c r="AC23" s="412"/>
      <c r="AD23" s="413"/>
      <c r="AE23" s="414"/>
      <c r="AF23" s="331"/>
      <c r="AG23" s="329"/>
      <c r="AH23" s="545"/>
      <c r="AI23" s="545"/>
      <c r="AJ23" s="546"/>
      <c r="AK23" s="565">
        <f t="shared" si="3"/>
      </c>
      <c r="AL23" s="566"/>
      <c r="AM23" s="567"/>
      <c r="AN23" s="545"/>
      <c r="AO23" s="545"/>
      <c r="AP23" s="546"/>
      <c r="AQ23" s="565">
        <f t="shared" si="4"/>
      </c>
      <c r="AR23" s="566"/>
      <c r="AS23" s="567"/>
      <c r="AT23" s="372" t="s">
        <v>167</v>
      </c>
      <c r="AU23" s="373"/>
      <c r="AV23" s="373"/>
      <c r="AW23" s="373"/>
      <c r="AX23" s="349"/>
      <c r="BB23" s="109">
        <f t="shared" si="0"/>
        <v>2</v>
      </c>
      <c r="BC23" s="157" t="s">
        <v>168</v>
      </c>
      <c r="BD23" s="102">
        <f t="shared" si="1"/>
        <v>0</v>
      </c>
    </row>
    <row r="24" spans="1:58" ht="18" customHeight="1">
      <c r="A24" s="4"/>
      <c r="B24" s="453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T24" s="455"/>
      <c r="U24" s="455"/>
      <c r="V24" s="455"/>
      <c r="W24" s="454"/>
      <c r="X24" s="454"/>
      <c r="Y24" s="454"/>
      <c r="Z24" s="454"/>
      <c r="AA24" s="454"/>
      <c r="AB24" s="454"/>
      <c r="AC24" s="454"/>
      <c r="AD24" s="454"/>
      <c r="AE24" s="456"/>
      <c r="AF24" s="427" t="s">
        <v>212</v>
      </c>
      <c r="AG24" s="428"/>
      <c r="AH24" s="428"/>
      <c r="AI24" s="428"/>
      <c r="AJ24" s="533"/>
      <c r="AK24" s="489">
        <v>0</v>
      </c>
      <c r="AL24" s="490"/>
      <c r="AM24" s="490"/>
      <c r="AN24" s="490"/>
      <c r="AO24" s="490"/>
      <c r="AP24" s="491"/>
      <c r="AQ24" s="482"/>
      <c r="AR24" s="480"/>
      <c r="AS24" s="481"/>
      <c r="AT24" s="480"/>
      <c r="AU24" s="480"/>
      <c r="AV24" s="480"/>
      <c r="AW24" s="480"/>
      <c r="AX24" s="481"/>
      <c r="BF24" s="110"/>
    </row>
    <row r="25" spans="1:58" ht="12" customHeight="1">
      <c r="A25" s="9"/>
      <c r="B25" s="457"/>
      <c r="C25" s="457"/>
      <c r="D25" s="457"/>
      <c r="E25" s="457"/>
      <c r="F25" s="457"/>
      <c r="G25" s="457"/>
      <c r="H25" s="457"/>
      <c r="I25" s="457"/>
      <c r="J25" s="457"/>
      <c r="K25" s="457"/>
      <c r="L25" s="457"/>
      <c r="M25" s="457"/>
      <c r="N25" s="457"/>
      <c r="O25" s="457"/>
      <c r="P25" s="457"/>
      <c r="Q25" s="457"/>
      <c r="R25" s="457"/>
      <c r="S25" s="457"/>
      <c r="T25" s="457"/>
      <c r="U25" s="457"/>
      <c r="V25" s="457"/>
      <c r="W25" s="457"/>
      <c r="X25" s="457"/>
      <c r="Y25" s="457"/>
      <c r="Z25" s="457"/>
      <c r="AA25" s="457"/>
      <c r="AB25" s="457"/>
      <c r="AC25" s="457"/>
      <c r="AD25" s="457"/>
      <c r="AE25" s="457"/>
      <c r="AF25" s="457"/>
      <c r="AG25" s="457"/>
      <c r="AH25" s="457"/>
      <c r="AI25" s="457"/>
      <c r="AJ25" s="457"/>
      <c r="AK25" s="457"/>
      <c r="AL25" s="457"/>
      <c r="AM25" s="457"/>
      <c r="AN25" s="457"/>
      <c r="AO25" s="457"/>
      <c r="AP25" s="457"/>
      <c r="AQ25" s="457"/>
      <c r="AR25" s="457"/>
      <c r="AS25" s="457"/>
      <c r="AT25" s="457"/>
      <c r="AU25" s="457"/>
      <c r="AV25" s="457"/>
      <c r="AW25" s="457"/>
      <c r="AX25" s="457"/>
      <c r="BF25" s="110"/>
    </row>
    <row r="26" spans="1:58" ht="18" customHeight="1">
      <c r="A26" s="4"/>
      <c r="B26" s="369" t="s">
        <v>158</v>
      </c>
      <c r="C26" s="370"/>
      <c r="D26" s="370"/>
      <c r="E26" s="370"/>
      <c r="F26" s="370"/>
      <c r="G26" s="370"/>
      <c r="H26" s="370"/>
      <c r="I26" s="370"/>
      <c r="J26" s="370"/>
      <c r="K26" s="370"/>
      <c r="L26" s="370"/>
      <c r="M26" s="370"/>
      <c r="N26" s="370"/>
      <c r="O26" s="370"/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0"/>
      <c r="AB26" s="370"/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1"/>
      <c r="AO26" s="580"/>
      <c r="AP26" s="369" t="s">
        <v>96</v>
      </c>
      <c r="AQ26" s="370"/>
      <c r="AR26" s="370"/>
      <c r="AS26" s="370"/>
      <c r="AT26" s="370"/>
      <c r="AU26" s="370"/>
      <c r="AV26" s="370"/>
      <c r="AW26" s="370"/>
      <c r="AX26" s="371"/>
      <c r="BB26" s="124" t="s">
        <v>222</v>
      </c>
      <c r="BD26" s="124" t="s">
        <v>288</v>
      </c>
      <c r="BF26" s="110"/>
    </row>
    <row r="27" spans="1:58" ht="18" customHeight="1">
      <c r="A27" s="184"/>
      <c r="B27" s="418" t="s">
        <v>420</v>
      </c>
      <c r="C27" s="419"/>
      <c r="D27" s="419"/>
      <c r="E27" s="420"/>
      <c r="F27" s="325" t="s">
        <v>160</v>
      </c>
      <c r="G27" s="326"/>
      <c r="H27" s="326"/>
      <c r="I27" s="326"/>
      <c r="J27" s="326"/>
      <c r="K27" s="326"/>
      <c r="L27" s="326"/>
      <c r="M27" s="326"/>
      <c r="N27" s="327"/>
      <c r="O27" s="325" t="s">
        <v>161</v>
      </c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7"/>
      <c r="AB27" s="326" t="s">
        <v>162</v>
      </c>
      <c r="AC27" s="326"/>
      <c r="AD27" s="326"/>
      <c r="AE27" s="326"/>
      <c r="AF27" s="326"/>
      <c r="AG27" s="326"/>
      <c r="AH27" s="326"/>
      <c r="AI27" s="326"/>
      <c r="AJ27" s="326"/>
      <c r="AK27" s="326"/>
      <c r="AL27" s="326"/>
      <c r="AM27" s="326"/>
      <c r="AN27" s="327"/>
      <c r="AO27" s="580"/>
      <c r="AP27" s="568" t="str">
        <f>IF('業務情報'!E9="","",'業務情報'!E9)</f>
        <v>Leica TCRA1105Plus No.206265</v>
      </c>
      <c r="AQ27" s="569"/>
      <c r="AR27" s="569"/>
      <c r="AS27" s="569"/>
      <c r="AT27" s="569"/>
      <c r="AU27" s="569"/>
      <c r="AV27" s="569"/>
      <c r="AW27" s="569"/>
      <c r="AX27" s="570"/>
      <c r="BB27" s="117" t="s">
        <v>226</v>
      </c>
      <c r="BC27" s="135" t="s">
        <v>289</v>
      </c>
      <c r="BD27" s="90">
        <v>0.2</v>
      </c>
      <c r="BF27" s="110"/>
    </row>
    <row r="28" spans="1:56" ht="18" customHeight="1">
      <c r="A28" s="99"/>
      <c r="B28" s="550"/>
      <c r="C28" s="543"/>
      <c r="D28" s="543"/>
      <c r="E28" s="544"/>
      <c r="F28" s="325" t="s">
        <v>427</v>
      </c>
      <c r="G28" s="326"/>
      <c r="H28" s="327"/>
      <c r="I28" s="325" t="s">
        <v>428</v>
      </c>
      <c r="J28" s="326"/>
      <c r="K28" s="327"/>
      <c r="L28" s="543" t="s">
        <v>429</v>
      </c>
      <c r="M28" s="543"/>
      <c r="N28" s="544"/>
      <c r="O28" s="326" t="s">
        <v>430</v>
      </c>
      <c r="P28" s="326"/>
      <c r="Q28" s="326"/>
      <c r="R28" s="326"/>
      <c r="S28" s="327"/>
      <c r="T28" s="326" t="s">
        <v>431</v>
      </c>
      <c r="U28" s="326"/>
      <c r="V28" s="326"/>
      <c r="W28" s="326"/>
      <c r="X28" s="327"/>
      <c r="Y28" s="325" t="s">
        <v>141</v>
      </c>
      <c r="Z28" s="326"/>
      <c r="AA28" s="327"/>
      <c r="AB28" s="326" t="s">
        <v>430</v>
      </c>
      <c r="AC28" s="326"/>
      <c r="AD28" s="326"/>
      <c r="AE28" s="326"/>
      <c r="AF28" s="327"/>
      <c r="AG28" s="326" t="s">
        <v>431</v>
      </c>
      <c r="AH28" s="326"/>
      <c r="AI28" s="326"/>
      <c r="AJ28" s="326"/>
      <c r="AK28" s="327"/>
      <c r="AL28" s="543" t="s">
        <v>141</v>
      </c>
      <c r="AM28" s="543"/>
      <c r="AN28" s="544"/>
      <c r="AO28" s="580"/>
      <c r="AP28" s="571">
        <f>IF('業務情報'!E10="","",'業務情報'!E10)</f>
      </c>
      <c r="AQ28" s="572"/>
      <c r="AR28" s="572"/>
      <c r="AS28" s="572"/>
      <c r="AT28" s="572"/>
      <c r="AU28" s="572"/>
      <c r="AV28" s="572"/>
      <c r="AW28" s="572"/>
      <c r="AX28" s="573"/>
      <c r="BA28" s="1"/>
      <c r="BB28" s="223">
        <v>0.1</v>
      </c>
      <c r="BC28" s="129">
        <v>0.02</v>
      </c>
      <c r="BD28" s="155">
        <v>0.05</v>
      </c>
    </row>
    <row r="29" spans="1:56" ht="17.25" customHeight="1">
      <c r="A29" s="99"/>
      <c r="B29" s="547"/>
      <c r="C29" s="548"/>
      <c r="D29" s="548"/>
      <c r="E29" s="549"/>
      <c r="F29" s="514" t="s">
        <v>294</v>
      </c>
      <c r="G29" s="515"/>
      <c r="H29" s="516"/>
      <c r="I29" s="514" t="s">
        <v>293</v>
      </c>
      <c r="J29" s="515"/>
      <c r="K29" s="516"/>
      <c r="L29" s="534" t="s">
        <v>296</v>
      </c>
      <c r="M29" s="534"/>
      <c r="N29" s="535"/>
      <c r="O29" s="195"/>
      <c r="P29" s="195" t="s">
        <v>298</v>
      </c>
      <c r="Q29" s="195" t="s">
        <v>299</v>
      </c>
      <c r="R29" s="195" t="s">
        <v>297</v>
      </c>
      <c r="S29" s="196"/>
      <c r="T29" s="195"/>
      <c r="U29" s="195" t="s">
        <v>298</v>
      </c>
      <c r="V29" s="195" t="s">
        <v>299</v>
      </c>
      <c r="W29" s="195" t="s">
        <v>297</v>
      </c>
      <c r="X29" s="196"/>
      <c r="Y29" s="432" t="s">
        <v>297</v>
      </c>
      <c r="Z29" s="433"/>
      <c r="AA29" s="434"/>
      <c r="AB29" s="195"/>
      <c r="AC29" s="195" t="s">
        <v>298</v>
      </c>
      <c r="AD29" s="195" t="s">
        <v>299</v>
      </c>
      <c r="AE29" s="195" t="s">
        <v>297</v>
      </c>
      <c r="AF29" s="196"/>
      <c r="AG29" s="195"/>
      <c r="AH29" s="195" t="s">
        <v>298</v>
      </c>
      <c r="AI29" s="195" t="s">
        <v>299</v>
      </c>
      <c r="AJ29" s="195" t="s">
        <v>297</v>
      </c>
      <c r="AK29" s="196"/>
      <c r="AL29" s="448" t="s">
        <v>297</v>
      </c>
      <c r="AM29" s="448"/>
      <c r="AN29" s="449"/>
      <c r="AO29" s="580"/>
      <c r="AP29" s="574" t="str">
        <f>IF('業務情報'!E11="","",'業務情報'!E11)</f>
        <v>気圧計 アネロイド式</v>
      </c>
      <c r="AQ29" s="575"/>
      <c r="AR29" s="575"/>
      <c r="AS29" s="575"/>
      <c r="AT29" s="575"/>
      <c r="AU29" s="575"/>
      <c r="AV29" s="575"/>
      <c r="AW29" s="575"/>
      <c r="AX29" s="576"/>
      <c r="AZ29" s="280"/>
      <c r="BA29" s="281"/>
      <c r="BB29" s="69">
        <v>0.1</v>
      </c>
      <c r="BC29" s="130">
        <v>0.03</v>
      </c>
      <c r="BD29" s="156">
        <v>0.1</v>
      </c>
    </row>
    <row r="30" spans="1:56" ht="17.25" customHeight="1">
      <c r="A30" s="99"/>
      <c r="B30" s="372" t="s">
        <v>629</v>
      </c>
      <c r="C30" s="373"/>
      <c r="D30" s="373"/>
      <c r="E30" s="349"/>
      <c r="F30" s="379"/>
      <c r="G30" s="332"/>
      <c r="H30" s="330"/>
      <c r="I30" s="379"/>
      <c r="J30" s="332"/>
      <c r="K30" s="330"/>
      <c r="L30" s="518">
        <f aca="true" t="shared" si="6" ref="L30:L37">IF(OR(F30="",I30=""),"",ABS(I30-F30))</f>
      </c>
      <c r="M30" s="518"/>
      <c r="N30" s="519"/>
      <c r="O30" s="536"/>
      <c r="P30" s="520"/>
      <c r="Q30" s="189"/>
      <c r="R30" s="189"/>
      <c r="S30" s="190"/>
      <c r="T30" s="520"/>
      <c r="U30" s="520"/>
      <c r="V30" s="189"/>
      <c r="W30" s="189"/>
      <c r="X30" s="191"/>
      <c r="Y30" s="590">
        <f>IF(OR(COUNTA(O30:R30)&lt;3,COUNTA(T30:W30)&lt;3),"",(O30-T30)*3600+(Q30-V30)*60+(R30-W30))</f>
      </c>
      <c r="Z30" s="591"/>
      <c r="AA30" s="592"/>
      <c r="AB30" s="520"/>
      <c r="AC30" s="520"/>
      <c r="AD30" s="189"/>
      <c r="AE30" s="189"/>
      <c r="AF30" s="190"/>
      <c r="AG30" s="520"/>
      <c r="AH30" s="520"/>
      <c r="AI30" s="189"/>
      <c r="AJ30" s="189"/>
      <c r="AK30" s="190"/>
      <c r="AL30" s="581">
        <f>IF(OR(COUNTA(AB30:AE30)&lt;3,COUNTA(AG30:AJ30)&lt;3),"",IF(LEFT($AB30,1)="+",(AB30-AG30)*3600+(AD30-AI30)*60+(AE30-AJ30),-1*((AB30-AG30)*3600+(AD30-AI30)*60+(AE30-AJ30))))</f>
      </c>
      <c r="AM30" s="582"/>
      <c r="AN30" s="583"/>
      <c r="AO30" s="580"/>
      <c r="AP30" s="322" t="s">
        <v>175</v>
      </c>
      <c r="AQ30" s="318"/>
      <c r="AR30" s="318"/>
      <c r="AS30" s="318"/>
      <c r="AT30" s="318"/>
      <c r="AU30" s="318"/>
      <c r="AV30" s="318"/>
      <c r="AW30" s="318"/>
      <c r="AX30" s="320"/>
      <c r="AZ30" s="282"/>
      <c r="BA30" s="281"/>
      <c r="BB30" s="69">
        <v>0.15</v>
      </c>
      <c r="BC30" s="130">
        <v>0.05</v>
      </c>
      <c r="BD30" s="156">
        <v>0.15</v>
      </c>
    </row>
    <row r="31" spans="1:56" ht="17.25" customHeight="1">
      <c r="A31" s="99"/>
      <c r="B31" s="372" t="s">
        <v>630</v>
      </c>
      <c r="C31" s="373"/>
      <c r="D31" s="373"/>
      <c r="E31" s="349"/>
      <c r="F31" s="379">
        <v>47.916</v>
      </c>
      <c r="G31" s="332"/>
      <c r="H31" s="330"/>
      <c r="I31" s="379">
        <v>47.916</v>
      </c>
      <c r="J31" s="332"/>
      <c r="K31" s="330"/>
      <c r="L31" s="517">
        <f t="shared" si="6"/>
        <v>0</v>
      </c>
      <c r="M31" s="518"/>
      <c r="N31" s="519"/>
      <c r="O31" s="520">
        <v>0</v>
      </c>
      <c r="P31" s="520"/>
      <c r="Q31" s="189">
        <v>0</v>
      </c>
      <c r="R31" s="189">
        <v>0</v>
      </c>
      <c r="S31" s="190"/>
      <c r="T31" s="520">
        <v>0</v>
      </c>
      <c r="U31" s="520"/>
      <c r="V31" s="189">
        <v>0</v>
      </c>
      <c r="W31" s="189">
        <v>0</v>
      </c>
      <c r="X31" s="191"/>
      <c r="Y31" s="590">
        <f aca="true" t="shared" si="7" ref="Y31:Y37">IF(OR(COUNTA(O31:R31)&lt;3,COUNTA(T31:W31)&lt;3),"",(O31-T31)*3600+(Q31-V31)*60+(R31-W31))</f>
        <v>0</v>
      </c>
      <c r="Z31" s="591"/>
      <c r="AA31" s="592"/>
      <c r="AB31" s="532" t="s">
        <v>653</v>
      </c>
      <c r="AC31" s="532"/>
      <c r="AD31" s="189">
        <v>30</v>
      </c>
      <c r="AE31" s="189">
        <v>10</v>
      </c>
      <c r="AF31" s="190"/>
      <c r="AG31" s="532" t="s">
        <v>653</v>
      </c>
      <c r="AH31" s="532"/>
      <c r="AI31" s="189">
        <v>30</v>
      </c>
      <c r="AJ31" s="189">
        <v>13</v>
      </c>
      <c r="AK31" s="190"/>
      <c r="AL31" s="581">
        <f>IF(OR(COUNTA(AB31:AE31)&lt;3,COUNTA(AG31:AJ31)&lt;3),"",IF(LEFT($AB31,1)="+",(AB31-AG31)*3600+(AD31-AI31)*60+(AE31-AJ31),-1*((AB31-AG31)*3600+(AD31-AI31)*60+(AE31-AJ31))))</f>
        <v>3</v>
      </c>
      <c r="AM31" s="582"/>
      <c r="AN31" s="583"/>
      <c r="AO31" s="580"/>
      <c r="AP31" s="369" t="s">
        <v>432</v>
      </c>
      <c r="AQ31" s="370"/>
      <c r="AR31" s="370"/>
      <c r="AS31" s="371"/>
      <c r="AT31" s="369" t="s">
        <v>457</v>
      </c>
      <c r="AU31" s="371"/>
      <c r="AV31" s="369" t="s">
        <v>178</v>
      </c>
      <c r="AW31" s="370"/>
      <c r="AX31" s="371"/>
      <c r="AZ31" s="284"/>
      <c r="BA31" s="283"/>
      <c r="BB31" s="150">
        <v>0.15</v>
      </c>
      <c r="BC31" s="131">
        <v>0.1</v>
      </c>
      <c r="BD31" s="157">
        <v>0.3</v>
      </c>
    </row>
    <row r="32" spans="1:54" ht="17.25" customHeight="1">
      <c r="A32" s="99"/>
      <c r="B32" s="372" t="s">
        <v>631</v>
      </c>
      <c r="C32" s="373"/>
      <c r="D32" s="373"/>
      <c r="E32" s="349"/>
      <c r="F32" s="379">
        <v>43.056</v>
      </c>
      <c r="G32" s="332"/>
      <c r="H32" s="330"/>
      <c r="I32" s="379">
        <v>43.056</v>
      </c>
      <c r="J32" s="332"/>
      <c r="K32" s="330"/>
      <c r="L32" s="517">
        <f t="shared" si="6"/>
        <v>0</v>
      </c>
      <c r="M32" s="518"/>
      <c r="N32" s="519"/>
      <c r="O32" s="520">
        <v>184</v>
      </c>
      <c r="P32" s="520"/>
      <c r="Q32" s="189">
        <v>28</v>
      </c>
      <c r="R32" s="189">
        <v>36</v>
      </c>
      <c r="S32" s="190"/>
      <c r="T32" s="520">
        <v>184</v>
      </c>
      <c r="U32" s="520"/>
      <c r="V32" s="189">
        <v>28</v>
      </c>
      <c r="W32" s="189">
        <v>34</v>
      </c>
      <c r="X32" s="191"/>
      <c r="Y32" s="590">
        <f t="shared" si="7"/>
        <v>2</v>
      </c>
      <c r="Z32" s="591"/>
      <c r="AA32" s="592"/>
      <c r="AB32" s="532" t="s">
        <v>654</v>
      </c>
      <c r="AC32" s="532"/>
      <c r="AD32" s="189">
        <v>19</v>
      </c>
      <c r="AE32" s="189">
        <v>4</v>
      </c>
      <c r="AF32" s="190"/>
      <c r="AG32" s="532" t="s">
        <v>654</v>
      </c>
      <c r="AH32" s="532"/>
      <c r="AI32" s="189">
        <v>19</v>
      </c>
      <c r="AJ32" s="189">
        <v>2</v>
      </c>
      <c r="AK32" s="190"/>
      <c r="AL32" s="581">
        <f aca="true" t="shared" si="8" ref="AL32:AL37">IF(OR(COUNTA(AB32:AE32)&lt;3,COUNTA(AG32:AJ32)&lt;3),"",IF(LEFT($AB32,1)="+",(AB32-AG32)*3600+(AD32-AI32)*60+(AE32-AJ32),-1*((AB32-AG32)*3600+(AD32-AI32)*60+(AE32-AJ32))))</f>
        <v>2</v>
      </c>
      <c r="AM32" s="582"/>
      <c r="AN32" s="583"/>
      <c r="AO32" s="580"/>
      <c r="AP32" s="577" t="s">
        <v>706</v>
      </c>
      <c r="AQ32" s="578"/>
      <c r="AR32" s="578"/>
      <c r="AS32" s="579"/>
      <c r="AT32" s="339">
        <v>12</v>
      </c>
      <c r="AU32" s="334"/>
      <c r="AV32" s="333" t="s">
        <v>516</v>
      </c>
      <c r="AW32" s="333"/>
      <c r="AX32" s="334"/>
      <c r="BA32" s="1"/>
      <c r="BB32" s="124" t="s">
        <v>290</v>
      </c>
    </row>
    <row r="33" spans="1:55" ht="17.25" customHeight="1">
      <c r="A33" s="99"/>
      <c r="B33" s="372"/>
      <c r="C33" s="373"/>
      <c r="D33" s="373"/>
      <c r="E33" s="349"/>
      <c r="F33" s="379"/>
      <c r="G33" s="332"/>
      <c r="H33" s="330"/>
      <c r="I33" s="379"/>
      <c r="J33" s="332"/>
      <c r="K33" s="330"/>
      <c r="L33" s="517">
        <f t="shared" si="6"/>
      </c>
      <c r="M33" s="518"/>
      <c r="N33" s="519"/>
      <c r="O33" s="520"/>
      <c r="P33" s="520"/>
      <c r="Q33" s="189"/>
      <c r="R33" s="189"/>
      <c r="S33" s="190"/>
      <c r="T33" s="520"/>
      <c r="U33" s="520"/>
      <c r="V33" s="189"/>
      <c r="W33" s="189"/>
      <c r="X33" s="191"/>
      <c r="Y33" s="590">
        <f t="shared" si="7"/>
      </c>
      <c r="Z33" s="591"/>
      <c r="AA33" s="592"/>
      <c r="AB33" s="520"/>
      <c r="AC33" s="520"/>
      <c r="AD33" s="189"/>
      <c r="AE33" s="189"/>
      <c r="AF33" s="190"/>
      <c r="AG33" s="520"/>
      <c r="AH33" s="520"/>
      <c r="AI33" s="189"/>
      <c r="AJ33" s="189"/>
      <c r="AK33" s="190"/>
      <c r="AL33" s="581">
        <f t="shared" si="8"/>
      </c>
      <c r="AM33" s="582"/>
      <c r="AN33" s="583"/>
      <c r="AO33" s="580"/>
      <c r="AP33" s="577"/>
      <c r="AQ33" s="578"/>
      <c r="AR33" s="578"/>
      <c r="AS33" s="579"/>
      <c r="AT33" s="339"/>
      <c r="AU33" s="334"/>
      <c r="AV33" s="333"/>
      <c r="AW33" s="333"/>
      <c r="AX33" s="334"/>
      <c r="BA33" s="1"/>
      <c r="BB33" s="128" t="s">
        <v>291</v>
      </c>
      <c r="BC33" s="124" t="s">
        <v>292</v>
      </c>
    </row>
    <row r="34" spans="1:56" ht="17.25" customHeight="1">
      <c r="A34" s="99"/>
      <c r="B34" s="372"/>
      <c r="C34" s="373"/>
      <c r="D34" s="373"/>
      <c r="E34" s="349"/>
      <c r="F34" s="379"/>
      <c r="G34" s="332"/>
      <c r="H34" s="330"/>
      <c r="I34" s="379"/>
      <c r="J34" s="332"/>
      <c r="K34" s="330"/>
      <c r="L34" s="517">
        <f t="shared" si="6"/>
      </c>
      <c r="M34" s="518"/>
      <c r="N34" s="519"/>
      <c r="O34" s="520"/>
      <c r="P34" s="520"/>
      <c r="Q34" s="189"/>
      <c r="R34" s="189"/>
      <c r="S34" s="190"/>
      <c r="T34" s="520"/>
      <c r="U34" s="520"/>
      <c r="V34" s="189"/>
      <c r="W34" s="189"/>
      <c r="X34" s="191"/>
      <c r="Y34" s="590">
        <f t="shared" si="7"/>
      </c>
      <c r="Z34" s="591"/>
      <c r="AA34" s="592"/>
      <c r="AB34" s="520"/>
      <c r="AC34" s="520"/>
      <c r="AD34" s="189"/>
      <c r="AE34" s="189"/>
      <c r="AF34" s="190"/>
      <c r="AG34" s="520"/>
      <c r="AH34" s="520"/>
      <c r="AI34" s="189"/>
      <c r="AJ34" s="189"/>
      <c r="AK34" s="190"/>
      <c r="AL34" s="581">
        <f t="shared" si="8"/>
      </c>
      <c r="AM34" s="582"/>
      <c r="AN34" s="583"/>
      <c r="AO34" s="580"/>
      <c r="AP34" s="584"/>
      <c r="AQ34" s="585"/>
      <c r="AR34" s="585"/>
      <c r="AS34" s="586"/>
      <c r="AT34" s="335"/>
      <c r="AU34" s="337"/>
      <c r="AV34" s="335"/>
      <c r="AW34" s="336"/>
      <c r="AX34" s="337"/>
      <c r="BA34" s="1"/>
      <c r="BB34" s="129">
        <v>0.01</v>
      </c>
      <c r="BC34" s="91">
        <v>0.05</v>
      </c>
      <c r="BD34" s="151" t="s">
        <v>275</v>
      </c>
    </row>
    <row r="35" spans="1:56" ht="17.25" customHeight="1">
      <c r="A35" s="99"/>
      <c r="B35" s="372"/>
      <c r="C35" s="373"/>
      <c r="D35" s="373"/>
      <c r="E35" s="349"/>
      <c r="F35" s="379"/>
      <c r="G35" s="332"/>
      <c r="H35" s="330"/>
      <c r="I35" s="379"/>
      <c r="J35" s="332"/>
      <c r="K35" s="330"/>
      <c r="L35" s="517">
        <f t="shared" si="6"/>
      </c>
      <c r="M35" s="518"/>
      <c r="N35" s="519"/>
      <c r="O35" s="520"/>
      <c r="P35" s="520"/>
      <c r="Q35" s="189"/>
      <c r="R35" s="189"/>
      <c r="S35" s="190"/>
      <c r="T35" s="520"/>
      <c r="U35" s="520"/>
      <c r="V35" s="189"/>
      <c r="W35" s="189"/>
      <c r="X35" s="191"/>
      <c r="Y35" s="590">
        <f t="shared" si="7"/>
      </c>
      <c r="Z35" s="591"/>
      <c r="AA35" s="592"/>
      <c r="AB35" s="520"/>
      <c r="AC35" s="520"/>
      <c r="AD35" s="189"/>
      <c r="AE35" s="189"/>
      <c r="AF35" s="190"/>
      <c r="AG35" s="520"/>
      <c r="AH35" s="520"/>
      <c r="AI35" s="189"/>
      <c r="AJ35" s="189"/>
      <c r="AK35" s="190"/>
      <c r="AL35" s="581">
        <f t="shared" si="8"/>
      </c>
      <c r="AM35" s="582"/>
      <c r="AN35" s="583"/>
      <c r="AO35" s="580"/>
      <c r="AP35" s="369" t="s">
        <v>179</v>
      </c>
      <c r="AQ35" s="370"/>
      <c r="AR35" s="370"/>
      <c r="AS35" s="370"/>
      <c r="AT35" s="370"/>
      <c r="AU35" s="370"/>
      <c r="AV35" s="370"/>
      <c r="AW35" s="370"/>
      <c r="AX35" s="371"/>
      <c r="BA35" s="1"/>
      <c r="BB35" s="130">
        <v>0.015</v>
      </c>
      <c r="BC35" s="92">
        <v>0.1</v>
      </c>
      <c r="BD35" s="122" t="s">
        <v>276</v>
      </c>
    </row>
    <row r="36" spans="1:56" ht="17.25" customHeight="1">
      <c r="A36" s="99"/>
      <c r="B36" s="372"/>
      <c r="C36" s="373"/>
      <c r="D36" s="373"/>
      <c r="E36" s="349"/>
      <c r="F36" s="379"/>
      <c r="G36" s="332"/>
      <c r="H36" s="330"/>
      <c r="I36" s="379"/>
      <c r="J36" s="332"/>
      <c r="K36" s="330"/>
      <c r="L36" s="517">
        <f t="shared" si="6"/>
      </c>
      <c r="M36" s="518"/>
      <c r="N36" s="519"/>
      <c r="O36" s="520"/>
      <c r="P36" s="520"/>
      <c r="Q36" s="189"/>
      <c r="R36" s="189"/>
      <c r="S36" s="190"/>
      <c r="T36" s="520"/>
      <c r="U36" s="520"/>
      <c r="V36" s="189"/>
      <c r="W36" s="189"/>
      <c r="X36" s="191"/>
      <c r="Y36" s="590">
        <f t="shared" si="7"/>
      </c>
      <c r="Z36" s="591"/>
      <c r="AA36" s="592"/>
      <c r="AB36" s="520"/>
      <c r="AC36" s="520"/>
      <c r="AD36" s="189"/>
      <c r="AE36" s="189"/>
      <c r="AF36" s="190"/>
      <c r="AG36" s="520"/>
      <c r="AH36" s="520"/>
      <c r="AI36" s="189"/>
      <c r="AJ36" s="189"/>
      <c r="AK36" s="190"/>
      <c r="AL36" s="581">
        <f t="shared" si="8"/>
      </c>
      <c r="AM36" s="582"/>
      <c r="AN36" s="583"/>
      <c r="AO36" s="580"/>
      <c r="AP36" s="577"/>
      <c r="AQ36" s="578"/>
      <c r="AR36" s="578"/>
      <c r="AS36" s="578"/>
      <c r="AT36" s="578"/>
      <c r="AU36" s="578"/>
      <c r="AV36" s="578"/>
      <c r="AW36" s="578"/>
      <c r="AX36" s="579"/>
      <c r="BA36" s="1"/>
      <c r="BB36" s="130">
        <v>0.025</v>
      </c>
      <c r="BC36" s="92">
        <v>0.15</v>
      </c>
      <c r="BD36" s="122" t="s">
        <v>277</v>
      </c>
    </row>
    <row r="37" spans="1:56" ht="17.25" customHeight="1">
      <c r="A37" s="99"/>
      <c r="B37" s="331"/>
      <c r="C37" s="328"/>
      <c r="D37" s="328"/>
      <c r="E37" s="329"/>
      <c r="F37" s="412"/>
      <c r="G37" s="413"/>
      <c r="H37" s="414"/>
      <c r="I37" s="412"/>
      <c r="J37" s="413"/>
      <c r="K37" s="414"/>
      <c r="L37" s="524">
        <f t="shared" si="6"/>
      </c>
      <c r="M37" s="525"/>
      <c r="N37" s="526"/>
      <c r="O37" s="513"/>
      <c r="P37" s="513"/>
      <c r="Q37" s="192"/>
      <c r="R37" s="192"/>
      <c r="S37" s="193"/>
      <c r="T37" s="513"/>
      <c r="U37" s="513"/>
      <c r="V37" s="192"/>
      <c r="W37" s="192"/>
      <c r="X37" s="194"/>
      <c r="Y37" s="593">
        <f t="shared" si="7"/>
      </c>
      <c r="Z37" s="594"/>
      <c r="AA37" s="595"/>
      <c r="AB37" s="513"/>
      <c r="AC37" s="513"/>
      <c r="AD37" s="192"/>
      <c r="AE37" s="192"/>
      <c r="AF37" s="193"/>
      <c r="AG37" s="513"/>
      <c r="AH37" s="513"/>
      <c r="AI37" s="192"/>
      <c r="AJ37" s="192"/>
      <c r="AK37" s="193"/>
      <c r="AL37" s="587">
        <f t="shared" si="8"/>
      </c>
      <c r="AM37" s="588"/>
      <c r="AN37" s="589"/>
      <c r="AO37" s="580"/>
      <c r="AP37" s="584"/>
      <c r="AQ37" s="585"/>
      <c r="AR37" s="585"/>
      <c r="AS37" s="585"/>
      <c r="AT37" s="585"/>
      <c r="AU37" s="585"/>
      <c r="AV37" s="585"/>
      <c r="AW37" s="585"/>
      <c r="AX37" s="586"/>
      <c r="BA37" s="1"/>
      <c r="BB37" s="131">
        <v>0.05</v>
      </c>
      <c r="BC37" s="93">
        <v>0.3</v>
      </c>
      <c r="BD37" s="152" t="s">
        <v>279</v>
      </c>
    </row>
    <row r="38" spans="1:47" ht="23.25" customHeight="1">
      <c r="A38" s="1"/>
      <c r="B38" s="1"/>
      <c r="C38" s="1"/>
      <c r="Z38" s="121"/>
      <c r="AA38" s="121"/>
      <c r="AB38" s="121"/>
      <c r="AC38" s="121"/>
      <c r="AD38" s="121"/>
      <c r="AE38" s="121"/>
      <c r="AF38" s="63"/>
      <c r="AG38" s="121"/>
      <c r="AK38" s="36"/>
      <c r="AL38" s="1"/>
      <c r="AM38" s="1"/>
      <c r="AN38" s="1"/>
      <c r="AO38" s="1"/>
      <c r="AP38" s="1"/>
      <c r="AQ38" s="1"/>
      <c r="AR38" s="1"/>
      <c r="AS38" s="1"/>
      <c r="AT38" s="1"/>
      <c r="AU38" s="1"/>
    </row>
    <row r="39" ht="12.75">
      <c r="AK39" s="1"/>
    </row>
    <row r="40" ht="15.75">
      <c r="B40" s="296" t="s">
        <v>0</v>
      </c>
    </row>
    <row r="41" spans="2:43" ht="15.75">
      <c r="B41" s="296" t="s">
        <v>17</v>
      </c>
      <c r="AQ41" s="1"/>
    </row>
    <row r="42" ht="12.75">
      <c r="AO42" s="1"/>
    </row>
  </sheetData>
  <sheetProtection formatCells="0"/>
  <mergeCells count="323">
    <mergeCell ref="T37:U37"/>
    <mergeCell ref="AG36:AH36"/>
    <mergeCell ref="AG37:AH37"/>
    <mergeCell ref="Y37:AA37"/>
    <mergeCell ref="Y36:AA36"/>
    <mergeCell ref="AB32:AC32"/>
    <mergeCell ref="AB33:AC33"/>
    <mergeCell ref="AB37:AC37"/>
    <mergeCell ref="AB34:AC34"/>
    <mergeCell ref="AB35:AC35"/>
    <mergeCell ref="AB36:AC36"/>
    <mergeCell ref="T33:U33"/>
    <mergeCell ref="T34:U34"/>
    <mergeCell ref="T35:U35"/>
    <mergeCell ref="T36:U36"/>
    <mergeCell ref="Y33:AA33"/>
    <mergeCell ref="Y34:AA34"/>
    <mergeCell ref="Y35:AA35"/>
    <mergeCell ref="O27:AA27"/>
    <mergeCell ref="Y29:AA29"/>
    <mergeCell ref="Y30:AA30"/>
    <mergeCell ref="Y31:AA31"/>
    <mergeCell ref="Y32:AA32"/>
    <mergeCell ref="T30:U30"/>
    <mergeCell ref="T31:U31"/>
    <mergeCell ref="O28:S28"/>
    <mergeCell ref="AG28:AK28"/>
    <mergeCell ref="AB28:AF28"/>
    <mergeCell ref="Y28:AA28"/>
    <mergeCell ref="AG30:AH30"/>
    <mergeCell ref="AG31:AH31"/>
    <mergeCell ref="AB27:AN27"/>
    <mergeCell ref="T28:X28"/>
    <mergeCell ref="AL28:AN28"/>
    <mergeCell ref="AB31:AC31"/>
    <mergeCell ref="AB30:AC30"/>
    <mergeCell ref="AP37:AX37"/>
    <mergeCell ref="AV34:AX34"/>
    <mergeCell ref="F32:H32"/>
    <mergeCell ref="F31:H31"/>
    <mergeCell ref="AL32:AN32"/>
    <mergeCell ref="AL33:AN33"/>
    <mergeCell ref="AL34:AN34"/>
    <mergeCell ref="AL35:AN35"/>
    <mergeCell ref="AL36:AN36"/>
    <mergeCell ref="AL37:AN37"/>
    <mergeCell ref="AT34:AU34"/>
    <mergeCell ref="AP34:AS34"/>
    <mergeCell ref="AP35:AX35"/>
    <mergeCell ref="AP36:AX36"/>
    <mergeCell ref="AO26:AO37"/>
    <mergeCell ref="AL29:AN29"/>
    <mergeCell ref="AL30:AN30"/>
    <mergeCell ref="AL31:AN31"/>
    <mergeCell ref="AV31:AX31"/>
    <mergeCell ref="AV32:AX32"/>
    <mergeCell ref="AV33:AX33"/>
    <mergeCell ref="AP30:AX30"/>
    <mergeCell ref="AP33:AS33"/>
    <mergeCell ref="AT31:AU31"/>
    <mergeCell ref="AT32:AU32"/>
    <mergeCell ref="AT33:AU33"/>
    <mergeCell ref="AP31:AS31"/>
    <mergeCell ref="AP32:AS32"/>
    <mergeCell ref="AP26:AX26"/>
    <mergeCell ref="AP27:AX27"/>
    <mergeCell ref="AP28:AX28"/>
    <mergeCell ref="AP29:AX29"/>
    <mergeCell ref="AT21:AX21"/>
    <mergeCell ref="AT22:AX22"/>
    <mergeCell ref="AK23:AM23"/>
    <mergeCell ref="AQ23:AS23"/>
    <mergeCell ref="AN21:AP21"/>
    <mergeCell ref="AQ22:AS22"/>
    <mergeCell ref="AK21:AM21"/>
    <mergeCell ref="AK22:AM22"/>
    <mergeCell ref="AN23:AP23"/>
    <mergeCell ref="AT23:AX23"/>
    <mergeCell ref="AT20:AX20"/>
    <mergeCell ref="AN19:AP19"/>
    <mergeCell ref="AN20:AP20"/>
    <mergeCell ref="AQ20:AS20"/>
    <mergeCell ref="AT19:AX19"/>
    <mergeCell ref="AQ19:AS19"/>
    <mergeCell ref="B32:E32"/>
    <mergeCell ref="F27:N27"/>
    <mergeCell ref="M12:N14"/>
    <mergeCell ref="B11:AX11"/>
    <mergeCell ref="B12:E14"/>
    <mergeCell ref="AC12:AE14"/>
    <mergeCell ref="J12:L14"/>
    <mergeCell ref="AK13:AM14"/>
    <mergeCell ref="Q13:V13"/>
    <mergeCell ref="Q14:S14"/>
    <mergeCell ref="B15:E15"/>
    <mergeCell ref="B16:E16"/>
    <mergeCell ref="J16:L16"/>
    <mergeCell ref="F12:I14"/>
    <mergeCell ref="T16:V16"/>
    <mergeCell ref="J15:L15"/>
    <mergeCell ref="T14:V14"/>
    <mergeCell ref="T17:V17"/>
    <mergeCell ref="O17:P17"/>
    <mergeCell ref="O12:P14"/>
    <mergeCell ref="M16:N16"/>
    <mergeCell ref="M17:N17"/>
    <mergeCell ref="Z14:AB14"/>
    <mergeCell ref="AT12:AX14"/>
    <mergeCell ref="AF12:AG14"/>
    <mergeCell ref="Z17:AB17"/>
    <mergeCell ref="AF17:AG17"/>
    <mergeCell ref="Q12:AB12"/>
    <mergeCell ref="W13:AB13"/>
    <mergeCell ref="W14:Y14"/>
    <mergeCell ref="AH13:AJ14"/>
    <mergeCell ref="AK15:AM15"/>
    <mergeCell ref="AK19:AM19"/>
    <mergeCell ref="AK20:AM20"/>
    <mergeCell ref="AQ16:AS16"/>
    <mergeCell ref="AQ17:AS17"/>
    <mergeCell ref="AQ18:AS18"/>
    <mergeCell ref="AK16:AM16"/>
    <mergeCell ref="AK17:AM17"/>
    <mergeCell ref="AT18:AX18"/>
    <mergeCell ref="AH18:AJ18"/>
    <mergeCell ref="AN15:AP15"/>
    <mergeCell ref="AN16:AP16"/>
    <mergeCell ref="AN17:AP17"/>
    <mergeCell ref="AN18:AP18"/>
    <mergeCell ref="AT17:AX17"/>
    <mergeCell ref="AT15:AX15"/>
    <mergeCell ref="AT16:AX16"/>
    <mergeCell ref="AQ15:AS15"/>
    <mergeCell ref="Z18:AB18"/>
    <mergeCell ref="AQ13:AS14"/>
    <mergeCell ref="AC17:AE17"/>
    <mergeCell ref="AC18:AE18"/>
    <mergeCell ref="AK18:AM18"/>
    <mergeCell ref="AN13:AP14"/>
    <mergeCell ref="AF15:AG15"/>
    <mergeCell ref="AF16:AG16"/>
    <mergeCell ref="Z15:AB15"/>
    <mergeCell ref="Z16:AB16"/>
    <mergeCell ref="AF18:AG18"/>
    <mergeCell ref="AF19:AG19"/>
    <mergeCell ref="AH15:AJ15"/>
    <mergeCell ref="AH16:AJ16"/>
    <mergeCell ref="AH17:AJ17"/>
    <mergeCell ref="B30:E30"/>
    <mergeCell ref="B31:E31"/>
    <mergeCell ref="J23:L23"/>
    <mergeCell ref="B29:E29"/>
    <mergeCell ref="B23:E23"/>
    <mergeCell ref="F30:H30"/>
    <mergeCell ref="F29:H29"/>
    <mergeCell ref="B26:AN26"/>
    <mergeCell ref="B27:E28"/>
    <mergeCell ref="F28:H28"/>
    <mergeCell ref="I28:K28"/>
    <mergeCell ref="L28:N28"/>
    <mergeCell ref="J22:L22"/>
    <mergeCell ref="F21:I21"/>
    <mergeCell ref="F22:I22"/>
    <mergeCell ref="B25:AX25"/>
    <mergeCell ref="M23:N23"/>
    <mergeCell ref="AH23:AJ23"/>
    <mergeCell ref="AH22:AJ22"/>
    <mergeCell ref="M22:N22"/>
    <mergeCell ref="B20:E20"/>
    <mergeCell ref="J20:L20"/>
    <mergeCell ref="M19:N19"/>
    <mergeCell ref="J18:L18"/>
    <mergeCell ref="F19:I19"/>
    <mergeCell ref="B19:E19"/>
    <mergeCell ref="J19:L19"/>
    <mergeCell ref="M20:N20"/>
    <mergeCell ref="T18:V18"/>
    <mergeCell ref="F18:I18"/>
    <mergeCell ref="W15:Y15"/>
    <mergeCell ref="W16:Y16"/>
    <mergeCell ref="W17:Y17"/>
    <mergeCell ref="W18:Y18"/>
    <mergeCell ref="T15:V15"/>
    <mergeCell ref="M15:N15"/>
    <mergeCell ref="F15:I15"/>
    <mergeCell ref="O15:P15"/>
    <mergeCell ref="Q20:S20"/>
    <mergeCell ref="Q15:S15"/>
    <mergeCell ref="Q16:S16"/>
    <mergeCell ref="Q17:S17"/>
    <mergeCell ref="Q18:S18"/>
    <mergeCell ref="W20:Y20"/>
    <mergeCell ref="O22:P22"/>
    <mergeCell ref="T19:V19"/>
    <mergeCell ref="T20:V20"/>
    <mergeCell ref="O19:P19"/>
    <mergeCell ref="O20:P20"/>
    <mergeCell ref="Q19:S19"/>
    <mergeCell ref="W19:Y19"/>
    <mergeCell ref="Q21:S21"/>
    <mergeCell ref="Q22:S22"/>
    <mergeCell ref="AF20:AG20"/>
    <mergeCell ref="AH19:AJ19"/>
    <mergeCell ref="AH20:AJ20"/>
    <mergeCell ref="Z23:AB23"/>
    <mergeCell ref="AF22:AG22"/>
    <mergeCell ref="Z19:AB19"/>
    <mergeCell ref="Z20:AB20"/>
    <mergeCell ref="AC20:AE20"/>
    <mergeCell ref="Z21:AB21"/>
    <mergeCell ref="AC19:AE19"/>
    <mergeCell ref="B35:E35"/>
    <mergeCell ref="B36:E36"/>
    <mergeCell ref="B37:E37"/>
    <mergeCell ref="L36:N36"/>
    <mergeCell ref="L37:N37"/>
    <mergeCell ref="F37:H37"/>
    <mergeCell ref="L35:N35"/>
    <mergeCell ref="I37:K37"/>
    <mergeCell ref="T32:U32"/>
    <mergeCell ref="L29:N29"/>
    <mergeCell ref="L32:N32"/>
    <mergeCell ref="L31:N31"/>
    <mergeCell ref="O30:P30"/>
    <mergeCell ref="O31:P31"/>
    <mergeCell ref="L30:N30"/>
    <mergeCell ref="AH21:AJ21"/>
    <mergeCell ref="AQ21:AS21"/>
    <mergeCell ref="AN22:AP22"/>
    <mergeCell ref="B33:E33"/>
    <mergeCell ref="AG32:AH32"/>
    <mergeCell ref="AG33:AH33"/>
    <mergeCell ref="AF24:AJ24"/>
    <mergeCell ref="M21:N21"/>
    <mergeCell ref="F23:I23"/>
    <mergeCell ref="J21:L21"/>
    <mergeCell ref="B22:E22"/>
    <mergeCell ref="W22:Y22"/>
    <mergeCell ref="W23:Y23"/>
    <mergeCell ref="AG35:AH35"/>
    <mergeCell ref="AC23:AE23"/>
    <mergeCell ref="B34:E34"/>
    <mergeCell ref="I34:K34"/>
    <mergeCell ref="L33:N33"/>
    <mergeCell ref="L34:N34"/>
    <mergeCell ref="AG34:AH34"/>
    <mergeCell ref="O21:P21"/>
    <mergeCell ref="Q23:S23"/>
    <mergeCell ref="T23:V23"/>
    <mergeCell ref="O23:P23"/>
    <mergeCell ref="T22:V22"/>
    <mergeCell ref="T21:V21"/>
    <mergeCell ref="W21:Y21"/>
    <mergeCell ref="Z22:AB22"/>
    <mergeCell ref="B24:AE24"/>
    <mergeCell ref="I36:K36"/>
    <mergeCell ref="O32:P32"/>
    <mergeCell ref="O33:P33"/>
    <mergeCell ref="O34:P34"/>
    <mergeCell ref="O35:P35"/>
    <mergeCell ref="O36:P36"/>
    <mergeCell ref="F34:H34"/>
    <mergeCell ref="O37:P37"/>
    <mergeCell ref="F36:H36"/>
    <mergeCell ref="I29:K29"/>
    <mergeCell ref="I30:K30"/>
    <mergeCell ref="I31:K31"/>
    <mergeCell ref="I32:K32"/>
    <mergeCell ref="I33:K33"/>
    <mergeCell ref="I35:K35"/>
    <mergeCell ref="F35:H35"/>
    <mergeCell ref="F33:H33"/>
    <mergeCell ref="B10:D10"/>
    <mergeCell ref="B3:AX3"/>
    <mergeCell ref="AH12:AS12"/>
    <mergeCell ref="B21:E21"/>
    <mergeCell ref="O16:P16"/>
    <mergeCell ref="F16:I16"/>
    <mergeCell ref="AS10:AX10"/>
    <mergeCell ref="AP10:AR10"/>
    <mergeCell ref="O18:P18"/>
    <mergeCell ref="M18:N18"/>
    <mergeCell ref="F17:I17"/>
    <mergeCell ref="J17:L17"/>
    <mergeCell ref="B17:E17"/>
    <mergeCell ref="B18:E18"/>
    <mergeCell ref="B8:AX8"/>
    <mergeCell ref="B7:AX7"/>
    <mergeCell ref="B5:E5"/>
    <mergeCell ref="B9:D9"/>
    <mergeCell ref="AS9:AW9"/>
    <mergeCell ref="AP9:AR9"/>
    <mergeCell ref="AG9:AI9"/>
    <mergeCell ref="E9:L9"/>
    <mergeCell ref="M9:O9"/>
    <mergeCell ref="W9:Y9"/>
    <mergeCell ref="W10:Y10"/>
    <mergeCell ref="P9:V9"/>
    <mergeCell ref="P10:V10"/>
    <mergeCell ref="AJ9:AO9"/>
    <mergeCell ref="AG10:AI10"/>
    <mergeCell ref="Z9:AF9"/>
    <mergeCell ref="Z10:AF10"/>
    <mergeCell ref="AC21:AE21"/>
    <mergeCell ref="M10:O10"/>
    <mergeCell ref="F20:I20"/>
    <mergeCell ref="B1:AX1"/>
    <mergeCell ref="B4:AX4"/>
    <mergeCell ref="B6:AX6"/>
    <mergeCell ref="F5:T5"/>
    <mergeCell ref="U5:AX5"/>
    <mergeCell ref="E10:L10"/>
    <mergeCell ref="AJ10:AN10"/>
    <mergeCell ref="B2:E2"/>
    <mergeCell ref="F2:AX2"/>
    <mergeCell ref="AK24:AP24"/>
    <mergeCell ref="AC16:AE16"/>
    <mergeCell ref="AC15:AE15"/>
    <mergeCell ref="AC22:AE22"/>
    <mergeCell ref="AT24:AX24"/>
    <mergeCell ref="AQ24:AS24"/>
    <mergeCell ref="AF21:AG21"/>
    <mergeCell ref="AF23:AG23"/>
  </mergeCells>
  <conditionalFormatting sqref="AN15:AP23 W15:Y23 AH15:AJ23 Q15:S15">
    <cfRule type="expression" priority="1" dxfId="0" stopIfTrue="1">
      <formula>ABS(T15)*1&lt;ABS(Q15)*1</formula>
    </cfRule>
  </conditionalFormatting>
  <conditionalFormatting sqref="J15:J23 K15:L15">
    <cfRule type="expression" priority="2" dxfId="3" stopIfTrue="1">
      <formula>T15=$BD$35</formula>
    </cfRule>
  </conditionalFormatting>
  <conditionalFormatting sqref="O15:O23 P15">
    <cfRule type="expression" priority="3" dxfId="3" stopIfTrue="1">
      <formula>T15=$BD$36</formula>
    </cfRule>
  </conditionalFormatting>
  <conditionalFormatting sqref="AT16:AX23">
    <cfRule type="expression" priority="4" dxfId="1" stopIfTrue="1">
      <formula>T16=$BD$37</formula>
    </cfRule>
    <cfRule type="expression" priority="5" dxfId="2" stopIfTrue="1">
      <formula>$BD16=5</formula>
    </cfRule>
  </conditionalFormatting>
  <conditionalFormatting sqref="Y30:Y37 AZ31 AL30:AL37">
    <cfRule type="cellIs" priority="6" dxfId="4" operator="equal" stopIfTrue="1">
      <formula>"書式エラー"</formula>
    </cfRule>
  </conditionalFormatting>
  <conditionalFormatting sqref="F5">
    <cfRule type="cellIs" priority="7" dxfId="4" operator="equal" stopIfTrue="1">
      <formula>$BB$9</formula>
    </cfRule>
  </conditionalFormatting>
  <conditionalFormatting sqref="AR15:AS15 AQ15:AQ23 AL15:AM15 AK15:AK23">
    <cfRule type="expression" priority="8" dxfId="4" stopIfTrue="1">
      <formula>OR(AK15="等級を選択",AK15="路線を選択")</formula>
    </cfRule>
  </conditionalFormatting>
  <conditionalFormatting sqref="AA15:AB16 U15:V15 Z15:Z23 T15:T23">
    <cfRule type="expression" priority="9" dxfId="4" stopIfTrue="1">
      <formula>OR(T15=$BD$34,T15=$BD$37,T15=$BD$36,T15="等級を選択",T15=$BD$35)</formula>
    </cfRule>
  </conditionalFormatting>
  <dataValidations count="4">
    <dataValidation type="list" allowBlank="1" showInputMessage="1" showErrorMessage="1" sqref="AT16:AX23">
      <formula1>IF($BD16=5,$BC$14,$BC$20:$BC$23)</formula1>
    </dataValidation>
    <dataValidation type="whole" allowBlank="1" showErrorMessage="1" error="0～59の値を入力" imeMode="off" sqref="Q30:R37 V30:W37 AD30:AE37 AI30:AJ37">
      <formula1>0</formula1>
      <formula2>59</formula2>
    </dataValidation>
    <dataValidation type="whole" allowBlank="1" showInputMessage="1" showErrorMessage="1" imeMode="off" sqref="O30:P37 T30:U37 AG33:AH37 AB30:AC30 AG30:AH30 AB33:AC37">
      <formula1>-360</formula1>
      <formula2>360</formula2>
    </dataValidation>
    <dataValidation type="list" allowBlank="1" showInputMessage="1" showErrorMessage="1" sqref="F5">
      <formula1>$BB$9:$BB$13</formula1>
    </dataValidation>
  </dataValidations>
  <hyperlinks>
    <hyperlink ref="B2:E2" location="業務情報!A1" tooltip="業務情報シートに移動" display="業務情報"/>
  </hyperlinks>
  <printOptions horizontalCentered="1"/>
  <pageMargins left="0.3937007874015748" right="0.3937007874015748" top="0.7874015748031497" bottom="0.1968503937007874" header="0.3937007874015748" footer="0.3937007874015748"/>
  <pageSetup blackAndWhite="1" fitToHeight="1" fitToWidth="1"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>
    <tabColor indexed="41"/>
    <pageSetUpPr fitToPage="1"/>
  </sheetPr>
  <dimension ref="A1:BE66"/>
  <sheetViews>
    <sheetView showGridLines="0" showRowColHeaders="0" workbookViewId="0" topLeftCell="A1">
      <selection activeCell="A1" sqref="A1"/>
    </sheetView>
  </sheetViews>
  <sheetFormatPr defaultColWidth="8.625" defaultRowHeight="13.5"/>
  <cols>
    <col min="1" max="1" width="5.00390625" style="0" customWidth="1"/>
    <col min="2" max="21" width="2.875" style="0" customWidth="1"/>
    <col min="22" max="24" width="2.875" style="7" customWidth="1"/>
    <col min="25" max="50" width="2.875" style="0" customWidth="1"/>
    <col min="51" max="51" width="12.25390625" style="0" customWidth="1"/>
    <col min="52" max="52" width="11.125" style="0" customWidth="1"/>
    <col min="53" max="53" width="12.50390625" style="0" customWidth="1"/>
    <col min="54" max="54" width="15.50390625" style="124" hidden="1" customWidth="1"/>
    <col min="55" max="55" width="20.625" style="124" hidden="1" customWidth="1"/>
    <col min="56" max="56" width="21.875" style="0" hidden="1" customWidth="1"/>
    <col min="57" max="57" width="13.00390625" style="0" hidden="1" customWidth="1"/>
    <col min="58" max="69" width="9.25390625" style="0" customWidth="1"/>
    <col min="70" max="16384" width="1.75390625" style="0" customWidth="1"/>
  </cols>
  <sheetData>
    <row r="1" spans="2:55" ht="21" customHeight="1"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BB1" s="10"/>
      <c r="BC1" s="10"/>
    </row>
    <row r="2" spans="2:55" ht="24" customHeight="1">
      <c r="B2" s="607" t="s">
        <v>388</v>
      </c>
      <c r="C2" s="607"/>
      <c r="D2" s="607"/>
      <c r="E2" s="607"/>
      <c r="F2" s="608" t="s">
        <v>408</v>
      </c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608"/>
      <c r="AW2" s="608"/>
      <c r="AX2" s="608"/>
      <c r="BB2" s="10"/>
      <c r="BC2" s="10"/>
    </row>
    <row r="3" spans="2:55" ht="21" customHeight="1">
      <c r="B3" s="605" t="s">
        <v>44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BB3" s="10"/>
      <c r="BC3" s="10"/>
    </row>
    <row r="4" spans="2:55" ht="21" customHeight="1" thickBot="1"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BB4" s="10"/>
      <c r="BC4" s="10"/>
    </row>
    <row r="5" spans="2:55" ht="24" customHeight="1" thickBot="1">
      <c r="B5" s="602" t="s">
        <v>84</v>
      </c>
      <c r="C5" s="603"/>
      <c r="D5" s="603"/>
      <c r="E5" s="604"/>
      <c r="F5" s="472" t="s">
        <v>219</v>
      </c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4"/>
      <c r="U5" s="606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BB5" s="10"/>
      <c r="BC5" s="10"/>
    </row>
    <row r="6" spans="2:55" ht="21" customHeight="1"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BB6" s="10"/>
      <c r="BC6" s="10"/>
    </row>
    <row r="7" spans="2:55" ht="30" customHeight="1">
      <c r="B7" s="462" t="str">
        <f>IF(BE19&lt;&gt;0,F5&amp;" 精 度 管 理 表",F5)</f>
        <v>4 級 基 準 点 測 量 精 度 管 理 表</v>
      </c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BB7" s="10"/>
      <c r="BC7" s="10"/>
    </row>
    <row r="8" spans="2:55" ht="18.75" customHeight="1">
      <c r="B8" s="506" t="s">
        <v>110</v>
      </c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6"/>
      <c r="S8" s="506"/>
      <c r="T8" s="506"/>
      <c r="U8" s="506"/>
      <c r="V8" s="506"/>
      <c r="W8" s="506"/>
      <c r="X8" s="506"/>
      <c r="Y8" s="506"/>
      <c r="Z8" s="506"/>
      <c r="AA8" s="506"/>
      <c r="AB8" s="506"/>
      <c r="AC8" s="506"/>
      <c r="AD8" s="506"/>
      <c r="AE8" s="506"/>
      <c r="AF8" s="506"/>
      <c r="AG8" s="506"/>
      <c r="AH8" s="506"/>
      <c r="AI8" s="506"/>
      <c r="AJ8" s="506"/>
      <c r="AK8" s="506"/>
      <c r="AL8" s="506"/>
      <c r="AM8" s="506"/>
      <c r="AN8" s="506"/>
      <c r="AO8" s="506"/>
      <c r="AP8" s="506"/>
      <c r="AQ8" s="506"/>
      <c r="AR8" s="506"/>
      <c r="AS8" s="506"/>
      <c r="AT8" s="506"/>
      <c r="AU8" s="506"/>
      <c r="AV8" s="506"/>
      <c r="AW8" s="506"/>
      <c r="AX8" s="506"/>
      <c r="BB8" s="10"/>
      <c r="BC8" s="10"/>
    </row>
    <row r="9" spans="1:55" ht="30" customHeight="1">
      <c r="A9" s="4"/>
      <c r="B9" s="369" t="s">
        <v>45</v>
      </c>
      <c r="C9" s="370"/>
      <c r="D9" s="371"/>
      <c r="E9" s="508" t="str">
        <f>IF($BK$12=1,"",IF('業務情報'!$C$3="","",IF('業務情報'!$C$3="","",'業務情報'!$C$3)))</f>
        <v>平成２６年度
○○測量業務</v>
      </c>
      <c r="F9" s="509"/>
      <c r="G9" s="509"/>
      <c r="H9" s="509"/>
      <c r="I9" s="509"/>
      <c r="J9" s="509"/>
      <c r="K9" s="509"/>
      <c r="L9" s="510"/>
      <c r="M9" s="369" t="s">
        <v>145</v>
      </c>
      <c r="N9" s="370"/>
      <c r="O9" s="371"/>
      <c r="P9" s="501" t="str">
        <f>IF($BJ$12=1,"",IF('業務情報'!$C$6="","",'業務情報'!$C$6))</f>
        <v>○○市　○○地区</v>
      </c>
      <c r="Q9" s="501"/>
      <c r="R9" s="501"/>
      <c r="S9" s="501"/>
      <c r="T9" s="501"/>
      <c r="U9" s="501"/>
      <c r="V9" s="501"/>
      <c r="W9" s="369" t="s">
        <v>126</v>
      </c>
      <c r="X9" s="370"/>
      <c r="Y9" s="371"/>
      <c r="Z9" s="508" t="str">
        <f>IF($BJ$12=1,"",IF('業務情報'!$E$3="","",'業務情報'!$E$3))</f>
        <v>○○地方整備局
○○事務所</v>
      </c>
      <c r="AA9" s="509"/>
      <c r="AB9" s="509"/>
      <c r="AC9" s="509"/>
      <c r="AD9" s="509"/>
      <c r="AE9" s="509"/>
      <c r="AF9" s="510"/>
      <c r="AG9" s="369" t="s">
        <v>170</v>
      </c>
      <c r="AH9" s="370"/>
      <c r="AI9" s="371"/>
      <c r="AJ9" s="501" t="str">
        <f>IF($BJ$12=1,"",IF('業務情報'!$E$4="","",'業務情報'!$E$4))</f>
        <v>（有）サーベイテック</v>
      </c>
      <c r="AK9" s="501"/>
      <c r="AL9" s="501"/>
      <c r="AM9" s="501"/>
      <c r="AN9" s="501"/>
      <c r="AO9" s="501"/>
      <c r="AP9" s="369" t="s">
        <v>48</v>
      </c>
      <c r="AQ9" s="370"/>
      <c r="AR9" s="371"/>
      <c r="AS9" s="496" t="str">
        <f>'業務情報'!G4</f>
        <v>曽木亜　説戸</v>
      </c>
      <c r="AT9" s="496"/>
      <c r="AU9" s="496"/>
      <c r="AV9" s="496"/>
      <c r="AW9" s="496"/>
      <c r="AX9" s="138" t="s">
        <v>125</v>
      </c>
      <c r="BB9" s="10"/>
      <c r="BC9" s="10"/>
    </row>
    <row r="10" spans="1:55" ht="30" customHeight="1">
      <c r="A10" s="9"/>
      <c r="B10" s="321" t="s">
        <v>88</v>
      </c>
      <c r="C10" s="314"/>
      <c r="D10" s="319"/>
      <c r="E10" s="600" t="str">
        <f>IF($BK$12=1,"",IF('業務情報'!$C$4="","",'業務情報'!$C$4))</f>
        <v>道路整備計画</v>
      </c>
      <c r="F10" s="600"/>
      <c r="G10" s="600"/>
      <c r="H10" s="600"/>
      <c r="I10" s="600"/>
      <c r="J10" s="600"/>
      <c r="K10" s="600"/>
      <c r="L10" s="600"/>
      <c r="M10" s="321" t="s">
        <v>146</v>
      </c>
      <c r="N10" s="314"/>
      <c r="O10" s="319"/>
      <c r="P10" s="503" t="str">
        <f>IF($BJ$12=1,"",IF('業務情報'!$E$5="","",'業務情報'!$E$5))</f>
        <v>自 平成26年10月10日
至 平成27年3月15日</v>
      </c>
      <c r="Q10" s="504"/>
      <c r="R10" s="504"/>
      <c r="S10" s="504"/>
      <c r="T10" s="504"/>
      <c r="U10" s="504"/>
      <c r="V10" s="505"/>
      <c r="W10" s="321" t="s">
        <v>104</v>
      </c>
      <c r="X10" s="314"/>
      <c r="Y10" s="319"/>
      <c r="Z10" s="599" t="str">
        <f>'基準点 (TS その1)'!Z10:AF10</f>
        <v>4級基準点　12点</v>
      </c>
      <c r="AA10" s="599"/>
      <c r="AB10" s="599"/>
      <c r="AC10" s="599"/>
      <c r="AD10" s="599"/>
      <c r="AE10" s="599"/>
      <c r="AF10" s="599"/>
      <c r="AG10" s="321" t="s">
        <v>511</v>
      </c>
      <c r="AH10" s="314"/>
      <c r="AI10" s="319"/>
      <c r="AJ10" s="601" t="str">
        <f>IF($BJ$12=1,"",IF('業務情報'!$G$3="","",'業務情報'!$G$3))</f>
        <v>兎位瑠度　逓津宇</v>
      </c>
      <c r="AK10" s="601"/>
      <c r="AL10" s="601"/>
      <c r="AM10" s="601"/>
      <c r="AN10" s="601"/>
      <c r="AO10" s="137" t="s">
        <v>125</v>
      </c>
      <c r="AP10" s="321" t="s">
        <v>52</v>
      </c>
      <c r="AQ10" s="314"/>
      <c r="AR10" s="319"/>
      <c r="AS10" s="597"/>
      <c r="AT10" s="597"/>
      <c r="AU10" s="597"/>
      <c r="AV10" s="597"/>
      <c r="AW10" s="597"/>
      <c r="AX10" s="598"/>
      <c r="BB10" s="10"/>
      <c r="BC10" s="10"/>
    </row>
    <row r="11" spans="1:55" ht="12" customHeight="1">
      <c r="A11" s="9"/>
      <c r="B11" s="623"/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23"/>
      <c r="Q11" s="623"/>
      <c r="R11" s="623"/>
      <c r="S11" s="623"/>
      <c r="T11" s="623"/>
      <c r="U11" s="623"/>
      <c r="V11" s="623"/>
      <c r="W11" s="623"/>
      <c r="X11" s="623"/>
      <c r="Y11" s="623"/>
      <c r="Z11" s="623"/>
      <c r="AA11" s="623"/>
      <c r="AB11" s="623"/>
      <c r="AC11" s="623"/>
      <c r="AD11" s="623"/>
      <c r="AE11" s="623"/>
      <c r="AF11" s="623"/>
      <c r="AG11" s="623"/>
      <c r="AH11" s="623"/>
      <c r="AI11" s="623"/>
      <c r="AJ11" s="623"/>
      <c r="AK11" s="623"/>
      <c r="AL11" s="623"/>
      <c r="AM11" s="623"/>
      <c r="AN11" s="623"/>
      <c r="AO11" s="623"/>
      <c r="AP11" s="623"/>
      <c r="AQ11" s="623"/>
      <c r="AR11" s="623"/>
      <c r="AS11" s="623"/>
      <c r="AT11" s="623"/>
      <c r="AU11" s="623"/>
      <c r="AV11" s="623"/>
      <c r="AW11" s="623"/>
      <c r="AX11" s="623"/>
      <c r="BB11" s="10"/>
      <c r="BC11" s="10"/>
    </row>
    <row r="12" spans="1:55" s="9" customFormat="1" ht="18" customHeight="1">
      <c r="A12" s="4"/>
      <c r="B12" s="323" t="s">
        <v>434</v>
      </c>
      <c r="C12" s="317"/>
      <c r="D12" s="324"/>
      <c r="E12" s="323" t="s">
        <v>150</v>
      </c>
      <c r="F12" s="317"/>
      <c r="G12" s="317"/>
      <c r="H12" s="324"/>
      <c r="I12" s="315" t="s">
        <v>302</v>
      </c>
      <c r="J12" s="615"/>
      <c r="K12" s="616"/>
      <c r="L12" s="323" t="s">
        <v>152</v>
      </c>
      <c r="M12" s="324"/>
      <c r="N12" s="323" t="s">
        <v>153</v>
      </c>
      <c r="O12" s="324"/>
      <c r="P12" s="369" t="s">
        <v>435</v>
      </c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1"/>
      <c r="AB12" s="323" t="s">
        <v>155</v>
      </c>
      <c r="AC12" s="324"/>
      <c r="AD12" s="323" t="s">
        <v>156</v>
      </c>
      <c r="AE12" s="324"/>
      <c r="AF12" s="369" t="s">
        <v>426</v>
      </c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1"/>
      <c r="AU12" s="386" t="s">
        <v>171</v>
      </c>
      <c r="AV12" s="387"/>
      <c r="AW12" s="387"/>
      <c r="AX12" s="388"/>
      <c r="AY12"/>
      <c r="AZ12"/>
      <c r="BA12"/>
      <c r="BB12" s="10"/>
      <c r="BC12" s="10"/>
    </row>
    <row r="13" spans="1:57" s="9" customFormat="1" ht="18" customHeight="1">
      <c r="A13" s="4"/>
      <c r="B13" s="322"/>
      <c r="C13" s="318"/>
      <c r="D13" s="320"/>
      <c r="E13" s="322"/>
      <c r="F13" s="318"/>
      <c r="G13" s="318"/>
      <c r="H13" s="320"/>
      <c r="I13" s="617"/>
      <c r="J13" s="618"/>
      <c r="K13" s="619"/>
      <c r="L13" s="322"/>
      <c r="M13" s="320"/>
      <c r="N13" s="322"/>
      <c r="O13" s="320"/>
      <c r="P13" s="369" t="s">
        <v>436</v>
      </c>
      <c r="Q13" s="370"/>
      <c r="R13" s="370"/>
      <c r="S13" s="370"/>
      <c r="T13" s="370"/>
      <c r="U13" s="371"/>
      <c r="V13" s="369" t="s">
        <v>437</v>
      </c>
      <c r="W13" s="370"/>
      <c r="X13" s="370"/>
      <c r="Y13" s="370"/>
      <c r="Z13" s="370"/>
      <c r="AA13" s="371"/>
      <c r="AB13" s="322"/>
      <c r="AC13" s="320"/>
      <c r="AD13" s="322"/>
      <c r="AE13" s="320"/>
      <c r="AF13" s="369" t="s">
        <v>438</v>
      </c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1"/>
      <c r="AU13" s="389"/>
      <c r="AV13" s="390"/>
      <c r="AW13" s="390"/>
      <c r="AX13" s="391"/>
      <c r="AY13"/>
      <c r="AZ13"/>
      <c r="BA13"/>
      <c r="BB13"/>
      <c r="BC13" s="125" t="s">
        <v>122</v>
      </c>
      <c r="BD13" s="92" t="s">
        <v>230</v>
      </c>
      <c r="BE13" s="93" t="s">
        <v>168</v>
      </c>
    </row>
    <row r="14" spans="1:57" ht="18" customHeight="1">
      <c r="A14" s="4"/>
      <c r="B14" s="321"/>
      <c r="C14" s="314"/>
      <c r="D14" s="319"/>
      <c r="E14" s="321"/>
      <c r="F14" s="314"/>
      <c r="G14" s="314"/>
      <c r="H14" s="319"/>
      <c r="I14" s="620"/>
      <c r="J14" s="621"/>
      <c r="K14" s="622"/>
      <c r="L14" s="321"/>
      <c r="M14" s="319"/>
      <c r="N14" s="321"/>
      <c r="O14" s="319"/>
      <c r="P14" s="369" t="s">
        <v>105</v>
      </c>
      <c r="Q14" s="370"/>
      <c r="R14" s="371"/>
      <c r="S14" s="369" t="s">
        <v>173</v>
      </c>
      <c r="T14" s="370"/>
      <c r="U14" s="371"/>
      <c r="V14" s="369" t="s">
        <v>105</v>
      </c>
      <c r="W14" s="370"/>
      <c r="X14" s="371"/>
      <c r="Y14" s="369" t="s">
        <v>173</v>
      </c>
      <c r="Z14" s="370"/>
      <c r="AA14" s="371"/>
      <c r="AB14" s="321"/>
      <c r="AC14" s="319"/>
      <c r="AD14" s="321"/>
      <c r="AE14" s="319"/>
      <c r="AF14" s="369" t="s">
        <v>439</v>
      </c>
      <c r="AG14" s="370"/>
      <c r="AH14" s="371"/>
      <c r="AI14" s="369" t="s">
        <v>440</v>
      </c>
      <c r="AJ14" s="370"/>
      <c r="AK14" s="371"/>
      <c r="AL14" s="369" t="s">
        <v>173</v>
      </c>
      <c r="AM14" s="370"/>
      <c r="AN14" s="371"/>
      <c r="AO14" s="369" t="s">
        <v>441</v>
      </c>
      <c r="AP14" s="370"/>
      <c r="AQ14" s="371"/>
      <c r="AR14" s="369" t="s">
        <v>173</v>
      </c>
      <c r="AS14" s="370"/>
      <c r="AT14" s="371"/>
      <c r="AU14" s="392"/>
      <c r="AV14" s="393"/>
      <c r="AW14" s="393"/>
      <c r="AX14" s="394"/>
      <c r="BB14"/>
      <c r="BC14" s="126" t="s">
        <v>216</v>
      </c>
      <c r="BD14" s="91">
        <v>10</v>
      </c>
      <c r="BE14" s="91">
        <v>12</v>
      </c>
    </row>
    <row r="15" spans="1:57" ht="16.5" customHeight="1">
      <c r="A15" s="4"/>
      <c r="B15" s="540"/>
      <c r="C15" s="542"/>
      <c r="D15" s="541"/>
      <c r="E15" s="540"/>
      <c r="F15" s="542"/>
      <c r="G15" s="542"/>
      <c r="H15" s="541"/>
      <c r="I15" s="492" t="s">
        <v>300</v>
      </c>
      <c r="J15" s="493"/>
      <c r="K15" s="494"/>
      <c r="L15" s="540"/>
      <c r="M15" s="541"/>
      <c r="N15" s="540"/>
      <c r="O15" s="541"/>
      <c r="P15" s="612" t="s">
        <v>301</v>
      </c>
      <c r="Q15" s="613"/>
      <c r="R15" s="614"/>
      <c r="S15" s="492" t="s">
        <v>301</v>
      </c>
      <c r="T15" s="493"/>
      <c r="U15" s="494"/>
      <c r="V15" s="612" t="s">
        <v>301</v>
      </c>
      <c r="W15" s="613"/>
      <c r="X15" s="614"/>
      <c r="Y15" s="492" t="s">
        <v>301</v>
      </c>
      <c r="Z15" s="493"/>
      <c r="AA15" s="494"/>
      <c r="AB15" s="492" t="s">
        <v>301</v>
      </c>
      <c r="AC15" s="494"/>
      <c r="AD15" s="540"/>
      <c r="AE15" s="541"/>
      <c r="AF15" s="540"/>
      <c r="AG15" s="542"/>
      <c r="AH15" s="541"/>
      <c r="AI15" s="612" t="s">
        <v>301</v>
      </c>
      <c r="AJ15" s="613"/>
      <c r="AK15" s="614"/>
      <c r="AL15" s="492" t="s">
        <v>301</v>
      </c>
      <c r="AM15" s="493"/>
      <c r="AN15" s="494"/>
      <c r="AO15" s="612" t="s">
        <v>301</v>
      </c>
      <c r="AP15" s="613"/>
      <c r="AQ15" s="614"/>
      <c r="AR15" s="492" t="s">
        <v>301</v>
      </c>
      <c r="AS15" s="493"/>
      <c r="AT15" s="494"/>
      <c r="AU15" s="540"/>
      <c r="AV15" s="542"/>
      <c r="AW15" s="542"/>
      <c r="AX15" s="541"/>
      <c r="BB15" s="127">
        <f aca="true" t="shared" si="0" ref="BB15:BB23">IF(AU15=$BC$20,0,IF(AU15=$BC$21,1,IF(AU15=$BC$22,2,3)))</f>
        <v>0</v>
      </c>
      <c r="BC15" s="144" t="s">
        <v>217</v>
      </c>
      <c r="BD15" s="92">
        <v>12</v>
      </c>
      <c r="BE15" s="156">
        <v>15</v>
      </c>
    </row>
    <row r="16" spans="1:57" ht="16.5" customHeight="1">
      <c r="A16" s="4"/>
      <c r="B16" s="372"/>
      <c r="C16" s="373"/>
      <c r="D16" s="349"/>
      <c r="E16" s="372"/>
      <c r="F16" s="373"/>
      <c r="G16" s="373"/>
      <c r="H16" s="349"/>
      <c r="I16" s="379"/>
      <c r="J16" s="332"/>
      <c r="K16" s="330"/>
      <c r="L16" s="372"/>
      <c r="M16" s="349"/>
      <c r="N16" s="372"/>
      <c r="O16" s="349"/>
      <c r="P16" s="609"/>
      <c r="Q16" s="610"/>
      <c r="R16" s="611"/>
      <c r="S16" s="517">
        <f aca="true" t="shared" si="1" ref="S16:S23">IF(BE29=5,"",IF(BE29&lt;&gt;0,INDEX($BE$20:$BE$23,BE29,1),IF(BE29=0,IF(OR(BB16=1,BB16=2),ROUNDDOWN(INDEX($BB$27:$BB$30,$BE$19,1)+INDEX($BC$27:$BC$30,$BE$19,1)*I16*(N16^0.5),3),ROUNDDOWN(INDEX($BB$33:$BB$36,$BE$19,1)*I16*(N16^0.5),3)))))</f>
      </c>
      <c r="T16" s="518"/>
      <c r="U16" s="519"/>
      <c r="V16" s="609"/>
      <c r="W16" s="610"/>
      <c r="X16" s="611"/>
      <c r="Y16" s="517">
        <f aca="true" t="shared" si="2" ref="Y16:Y23">IF(BE29=5,"",IF(BE29&lt;&gt;0,INDEX($BE$20:$BE$23,BE29,1),IF(BE29=0,IF(OR(BB16=1,BB16=2),ROUNDDOWN(0.2+INDEX($BD$27:$BD$30,$BE$19,1)*I16/(N16^0.5),3),ROUNDDOWN(INDEX($BD$33:$BD$36,$BE$19,1)*I16/(N16^0.5),3)))))</f>
      </c>
      <c r="Z16" s="518"/>
      <c r="AA16" s="519"/>
      <c r="AB16" s="379"/>
      <c r="AC16" s="330"/>
      <c r="AD16" s="372" t="s">
        <v>304</v>
      </c>
      <c r="AE16" s="349"/>
      <c r="AF16" s="372" t="s">
        <v>655</v>
      </c>
      <c r="AG16" s="373"/>
      <c r="AH16" s="349"/>
      <c r="AI16" s="609">
        <v>0.005</v>
      </c>
      <c r="AJ16" s="610"/>
      <c r="AK16" s="611"/>
      <c r="AL16" s="517">
        <f aca="true" t="shared" si="3" ref="AL16:AL23">IF($AI16="","",0.1)</f>
        <v>0.1</v>
      </c>
      <c r="AM16" s="518"/>
      <c r="AN16" s="519"/>
      <c r="AO16" s="609">
        <v>0.001</v>
      </c>
      <c r="AP16" s="610"/>
      <c r="AQ16" s="611"/>
      <c r="AR16" s="517">
        <f aca="true" t="shared" si="4" ref="AR16:AR23">IF($AO16="","",0.2)</f>
        <v>0.2</v>
      </c>
      <c r="AS16" s="518"/>
      <c r="AT16" s="519"/>
      <c r="AU16" s="372" t="s">
        <v>31</v>
      </c>
      <c r="AV16" s="373"/>
      <c r="AW16" s="373"/>
      <c r="AX16" s="349"/>
      <c r="BB16" s="108">
        <f t="shared" si="0"/>
        <v>2</v>
      </c>
      <c r="BC16" s="144" t="s">
        <v>218</v>
      </c>
      <c r="BD16" s="92">
        <v>15</v>
      </c>
      <c r="BE16" s="156">
        <v>20</v>
      </c>
    </row>
    <row r="17" spans="1:57" ht="16.5" customHeight="1">
      <c r="A17" s="4"/>
      <c r="B17" s="372"/>
      <c r="C17" s="373"/>
      <c r="D17" s="349"/>
      <c r="E17" s="372"/>
      <c r="F17" s="373"/>
      <c r="G17" s="373"/>
      <c r="H17" s="349"/>
      <c r="I17" s="379"/>
      <c r="J17" s="332"/>
      <c r="K17" s="330"/>
      <c r="L17" s="372"/>
      <c r="M17" s="349"/>
      <c r="N17" s="372"/>
      <c r="O17" s="349"/>
      <c r="P17" s="609"/>
      <c r="Q17" s="610"/>
      <c r="R17" s="611"/>
      <c r="S17" s="517">
        <f t="shared" si="1"/>
      </c>
      <c r="T17" s="518"/>
      <c r="U17" s="519"/>
      <c r="V17" s="609"/>
      <c r="W17" s="610"/>
      <c r="X17" s="611"/>
      <c r="Y17" s="517">
        <f t="shared" si="2"/>
      </c>
      <c r="Z17" s="518"/>
      <c r="AA17" s="519"/>
      <c r="AB17" s="379"/>
      <c r="AC17" s="330"/>
      <c r="AD17" s="372" t="s">
        <v>305</v>
      </c>
      <c r="AE17" s="349"/>
      <c r="AF17" s="372" t="s">
        <v>656</v>
      </c>
      <c r="AG17" s="373"/>
      <c r="AH17" s="349"/>
      <c r="AI17" s="609">
        <v>0.006</v>
      </c>
      <c r="AJ17" s="610"/>
      <c r="AK17" s="611"/>
      <c r="AL17" s="517">
        <f t="shared" si="3"/>
        <v>0.1</v>
      </c>
      <c r="AM17" s="518"/>
      <c r="AN17" s="519"/>
      <c r="AO17" s="609">
        <v>0.001</v>
      </c>
      <c r="AP17" s="610"/>
      <c r="AQ17" s="611"/>
      <c r="AR17" s="517">
        <f t="shared" si="4"/>
        <v>0.2</v>
      </c>
      <c r="AS17" s="518"/>
      <c r="AT17" s="519"/>
      <c r="AU17" s="372" t="s">
        <v>31</v>
      </c>
      <c r="AV17" s="373"/>
      <c r="AW17" s="373"/>
      <c r="AX17" s="349"/>
      <c r="BB17" s="108">
        <f t="shared" si="0"/>
        <v>2</v>
      </c>
      <c r="BC17" s="145" t="s">
        <v>219</v>
      </c>
      <c r="BD17" s="93">
        <v>20</v>
      </c>
      <c r="BE17" s="157">
        <v>30</v>
      </c>
    </row>
    <row r="18" spans="1:57" ht="16.5" customHeight="1">
      <c r="A18" s="4"/>
      <c r="B18" s="372"/>
      <c r="C18" s="373"/>
      <c r="D18" s="349"/>
      <c r="E18" s="372"/>
      <c r="F18" s="373"/>
      <c r="G18" s="373"/>
      <c r="H18" s="349"/>
      <c r="I18" s="379"/>
      <c r="J18" s="332"/>
      <c r="K18" s="330"/>
      <c r="L18" s="372"/>
      <c r="M18" s="349"/>
      <c r="N18" s="372"/>
      <c r="O18" s="349"/>
      <c r="P18" s="609"/>
      <c r="Q18" s="610"/>
      <c r="R18" s="611"/>
      <c r="S18" s="517">
        <f t="shared" si="1"/>
      </c>
      <c r="T18" s="518"/>
      <c r="U18" s="519"/>
      <c r="V18" s="609"/>
      <c r="W18" s="610"/>
      <c r="X18" s="611"/>
      <c r="Y18" s="517">
        <f t="shared" si="2"/>
      </c>
      <c r="Z18" s="518"/>
      <c r="AA18" s="519"/>
      <c r="AB18" s="379"/>
      <c r="AC18" s="330"/>
      <c r="AD18" s="372" t="s">
        <v>306</v>
      </c>
      <c r="AE18" s="349"/>
      <c r="AF18" s="372" t="s">
        <v>657</v>
      </c>
      <c r="AG18" s="373"/>
      <c r="AH18" s="349"/>
      <c r="AI18" s="609">
        <v>0.004</v>
      </c>
      <c r="AJ18" s="610"/>
      <c r="AK18" s="611"/>
      <c r="AL18" s="517">
        <f t="shared" si="3"/>
        <v>0.1</v>
      </c>
      <c r="AM18" s="518"/>
      <c r="AN18" s="519"/>
      <c r="AO18" s="609">
        <v>0.001</v>
      </c>
      <c r="AP18" s="610"/>
      <c r="AQ18" s="611"/>
      <c r="AR18" s="517">
        <f t="shared" si="4"/>
        <v>0.2</v>
      </c>
      <c r="AS18" s="518"/>
      <c r="AT18" s="519"/>
      <c r="AU18" s="372" t="s">
        <v>31</v>
      </c>
      <c r="AV18" s="373"/>
      <c r="AW18" s="373"/>
      <c r="AX18" s="349"/>
      <c r="BB18" s="108">
        <f t="shared" si="0"/>
        <v>2</v>
      </c>
      <c r="BD18" s="133"/>
      <c r="BE18" s="158"/>
    </row>
    <row r="19" spans="1:57" ht="16.5" customHeight="1">
      <c r="A19" s="4"/>
      <c r="B19" s="372"/>
      <c r="C19" s="373"/>
      <c r="D19" s="349"/>
      <c r="E19" s="372"/>
      <c r="F19" s="373"/>
      <c r="G19" s="373"/>
      <c r="H19" s="349"/>
      <c r="I19" s="379"/>
      <c r="J19" s="332"/>
      <c r="K19" s="330"/>
      <c r="L19" s="372"/>
      <c r="M19" s="349"/>
      <c r="N19" s="372"/>
      <c r="O19" s="349"/>
      <c r="P19" s="609"/>
      <c r="Q19" s="610"/>
      <c r="R19" s="611"/>
      <c r="S19" s="517">
        <f t="shared" si="1"/>
      </c>
      <c r="T19" s="518"/>
      <c r="U19" s="519"/>
      <c r="V19" s="609"/>
      <c r="W19" s="610"/>
      <c r="X19" s="611"/>
      <c r="Y19" s="517">
        <f t="shared" si="2"/>
      </c>
      <c r="Z19" s="518"/>
      <c r="AA19" s="519"/>
      <c r="AB19" s="379"/>
      <c r="AC19" s="330"/>
      <c r="AD19" s="372"/>
      <c r="AE19" s="349"/>
      <c r="AF19" s="372" t="s">
        <v>629</v>
      </c>
      <c r="AG19" s="373"/>
      <c r="AH19" s="349"/>
      <c r="AI19" s="609">
        <v>0.006</v>
      </c>
      <c r="AJ19" s="610"/>
      <c r="AK19" s="611"/>
      <c r="AL19" s="517">
        <f t="shared" si="3"/>
        <v>0.1</v>
      </c>
      <c r="AM19" s="518"/>
      <c r="AN19" s="519"/>
      <c r="AO19" s="609">
        <v>0.001</v>
      </c>
      <c r="AP19" s="610"/>
      <c r="AQ19" s="611"/>
      <c r="AR19" s="517">
        <f t="shared" si="4"/>
        <v>0.2</v>
      </c>
      <c r="AS19" s="518"/>
      <c r="AT19" s="519"/>
      <c r="AU19" s="372" t="s">
        <v>31</v>
      </c>
      <c r="AV19" s="373"/>
      <c r="AW19" s="373"/>
      <c r="AX19" s="349"/>
      <c r="BB19" s="108">
        <f t="shared" si="0"/>
        <v>2</v>
      </c>
      <c r="BC19" s="1"/>
      <c r="BE19" s="76">
        <f>IF(F5=BC13,0,IF(F5=BC14,1,IF(F5=BC15,2,IF(F5=BC16,3,IF(F5=BC17,4,"")))))</f>
        <v>4</v>
      </c>
    </row>
    <row r="20" spans="1:57" ht="16.5" customHeight="1">
      <c r="A20" s="4"/>
      <c r="B20" s="372"/>
      <c r="C20" s="373"/>
      <c r="D20" s="349"/>
      <c r="E20" s="372"/>
      <c r="F20" s="373"/>
      <c r="G20" s="373"/>
      <c r="H20" s="349"/>
      <c r="I20" s="379"/>
      <c r="J20" s="332"/>
      <c r="K20" s="330"/>
      <c r="L20" s="372"/>
      <c r="M20" s="349"/>
      <c r="N20" s="372"/>
      <c r="O20" s="349"/>
      <c r="P20" s="609"/>
      <c r="Q20" s="610"/>
      <c r="R20" s="611"/>
      <c r="S20" s="517">
        <f t="shared" si="1"/>
      </c>
      <c r="T20" s="518"/>
      <c r="U20" s="519"/>
      <c r="V20" s="609"/>
      <c r="W20" s="610"/>
      <c r="X20" s="611"/>
      <c r="Y20" s="517">
        <f t="shared" si="2"/>
      </c>
      <c r="Z20" s="518"/>
      <c r="AA20" s="519"/>
      <c r="AB20" s="379"/>
      <c r="AC20" s="330"/>
      <c r="AD20" s="372"/>
      <c r="AE20" s="349"/>
      <c r="AF20" s="372" t="s">
        <v>630</v>
      </c>
      <c r="AG20" s="373"/>
      <c r="AH20" s="349"/>
      <c r="AI20" s="609">
        <v>0.006</v>
      </c>
      <c r="AJ20" s="610"/>
      <c r="AK20" s="611"/>
      <c r="AL20" s="517">
        <f t="shared" si="3"/>
        <v>0.1</v>
      </c>
      <c r="AM20" s="518"/>
      <c r="AN20" s="519"/>
      <c r="AO20" s="609">
        <v>0.001</v>
      </c>
      <c r="AP20" s="610"/>
      <c r="AQ20" s="611"/>
      <c r="AR20" s="517">
        <f t="shared" si="4"/>
        <v>0.2</v>
      </c>
      <c r="AS20" s="518"/>
      <c r="AT20" s="519"/>
      <c r="AU20" s="372" t="s">
        <v>31</v>
      </c>
      <c r="AV20" s="373"/>
      <c r="AW20" s="373"/>
      <c r="AX20" s="349"/>
      <c r="BB20" s="108">
        <f t="shared" si="0"/>
        <v>2</v>
      </c>
      <c r="BC20" s="146"/>
      <c r="BE20" s="101" t="s">
        <v>275</v>
      </c>
    </row>
    <row r="21" spans="1:57" ht="16.5" customHeight="1">
      <c r="A21" s="4"/>
      <c r="B21" s="372"/>
      <c r="C21" s="373"/>
      <c r="D21" s="349"/>
      <c r="E21" s="372"/>
      <c r="F21" s="373"/>
      <c r="G21" s="373"/>
      <c r="H21" s="349"/>
      <c r="I21" s="379"/>
      <c r="J21" s="332"/>
      <c r="K21" s="330"/>
      <c r="L21" s="372"/>
      <c r="M21" s="349"/>
      <c r="N21" s="372"/>
      <c r="O21" s="349"/>
      <c r="P21" s="609"/>
      <c r="Q21" s="610"/>
      <c r="R21" s="611"/>
      <c r="S21" s="517">
        <f t="shared" si="1"/>
      </c>
      <c r="T21" s="518"/>
      <c r="U21" s="519"/>
      <c r="V21" s="609"/>
      <c r="W21" s="610"/>
      <c r="X21" s="611"/>
      <c r="Y21" s="517">
        <f t="shared" si="2"/>
      </c>
      <c r="Z21" s="518"/>
      <c r="AA21" s="519"/>
      <c r="AB21" s="379"/>
      <c r="AC21" s="330"/>
      <c r="AD21" s="372"/>
      <c r="AE21" s="349"/>
      <c r="AF21" s="372" t="s">
        <v>658</v>
      </c>
      <c r="AG21" s="373"/>
      <c r="AH21" s="349"/>
      <c r="AI21" s="609">
        <v>0.003</v>
      </c>
      <c r="AJ21" s="610"/>
      <c r="AK21" s="611"/>
      <c r="AL21" s="517">
        <f t="shared" si="3"/>
        <v>0.1</v>
      </c>
      <c r="AM21" s="518"/>
      <c r="AN21" s="519"/>
      <c r="AO21" s="609">
        <v>0.001</v>
      </c>
      <c r="AP21" s="610"/>
      <c r="AQ21" s="611"/>
      <c r="AR21" s="517">
        <f t="shared" si="4"/>
        <v>0.2</v>
      </c>
      <c r="AS21" s="518"/>
      <c r="AT21" s="519"/>
      <c r="AU21" s="372" t="s">
        <v>31</v>
      </c>
      <c r="AV21" s="373"/>
      <c r="AW21" s="373"/>
      <c r="AX21" s="349"/>
      <c r="BB21" s="108">
        <f t="shared" si="0"/>
        <v>2</v>
      </c>
      <c r="BC21" s="147" t="s">
        <v>221</v>
      </c>
      <c r="BE21" s="103" t="s">
        <v>276</v>
      </c>
    </row>
    <row r="22" spans="1:57" ht="16.5" customHeight="1">
      <c r="A22" s="4"/>
      <c r="B22" s="372"/>
      <c r="C22" s="373"/>
      <c r="D22" s="349"/>
      <c r="E22" s="372"/>
      <c r="F22" s="373"/>
      <c r="G22" s="373"/>
      <c r="H22" s="349"/>
      <c r="I22" s="379"/>
      <c r="J22" s="332"/>
      <c r="K22" s="330"/>
      <c r="L22" s="372"/>
      <c r="M22" s="349"/>
      <c r="N22" s="372"/>
      <c r="O22" s="349"/>
      <c r="P22" s="609"/>
      <c r="Q22" s="610"/>
      <c r="R22" s="611"/>
      <c r="S22" s="517">
        <f t="shared" si="1"/>
      </c>
      <c r="T22" s="518"/>
      <c r="U22" s="519"/>
      <c r="V22" s="609"/>
      <c r="W22" s="610"/>
      <c r="X22" s="611"/>
      <c r="Y22" s="517">
        <f t="shared" si="2"/>
      </c>
      <c r="Z22" s="518"/>
      <c r="AA22" s="519"/>
      <c r="AB22" s="379"/>
      <c r="AC22" s="330"/>
      <c r="AD22" s="372"/>
      <c r="AE22" s="349"/>
      <c r="AF22" s="372" t="s">
        <v>659</v>
      </c>
      <c r="AG22" s="373"/>
      <c r="AH22" s="349"/>
      <c r="AI22" s="609">
        <v>0.005</v>
      </c>
      <c r="AJ22" s="610"/>
      <c r="AK22" s="611"/>
      <c r="AL22" s="517">
        <f t="shared" si="3"/>
        <v>0.1</v>
      </c>
      <c r="AM22" s="518"/>
      <c r="AN22" s="519"/>
      <c r="AO22" s="609">
        <v>0.001</v>
      </c>
      <c r="AP22" s="610"/>
      <c r="AQ22" s="611"/>
      <c r="AR22" s="517">
        <f t="shared" si="4"/>
        <v>0.2</v>
      </c>
      <c r="AS22" s="518"/>
      <c r="AT22" s="519"/>
      <c r="AU22" s="372" t="s">
        <v>31</v>
      </c>
      <c r="AV22" s="373"/>
      <c r="AW22" s="373"/>
      <c r="AX22" s="349"/>
      <c r="BB22" s="108">
        <f t="shared" si="0"/>
        <v>2</v>
      </c>
      <c r="BC22" s="147" t="s">
        <v>31</v>
      </c>
      <c r="BD22" s="124"/>
      <c r="BE22" s="103" t="s">
        <v>277</v>
      </c>
    </row>
    <row r="23" spans="1:57" ht="16.5" customHeight="1">
      <c r="A23" s="4"/>
      <c r="B23" s="331"/>
      <c r="C23" s="328"/>
      <c r="D23" s="329"/>
      <c r="E23" s="372"/>
      <c r="F23" s="373"/>
      <c r="G23" s="373"/>
      <c r="H23" s="349"/>
      <c r="I23" s="412"/>
      <c r="J23" s="413"/>
      <c r="K23" s="414"/>
      <c r="L23" s="331"/>
      <c r="M23" s="329"/>
      <c r="N23" s="331"/>
      <c r="O23" s="329"/>
      <c r="P23" s="624"/>
      <c r="Q23" s="625"/>
      <c r="R23" s="626"/>
      <c r="S23" s="524">
        <f t="shared" si="1"/>
      </c>
      <c r="T23" s="525"/>
      <c r="U23" s="526"/>
      <c r="V23" s="624"/>
      <c r="W23" s="625"/>
      <c r="X23" s="626"/>
      <c r="Y23" s="524">
        <f t="shared" si="2"/>
      </c>
      <c r="Z23" s="525"/>
      <c r="AA23" s="526"/>
      <c r="AB23" s="412"/>
      <c r="AC23" s="414"/>
      <c r="AD23" s="331"/>
      <c r="AE23" s="329"/>
      <c r="AF23" s="331" t="s">
        <v>660</v>
      </c>
      <c r="AG23" s="328"/>
      <c r="AH23" s="329"/>
      <c r="AI23" s="624">
        <v>0.005</v>
      </c>
      <c r="AJ23" s="625"/>
      <c r="AK23" s="626"/>
      <c r="AL23" s="524">
        <f t="shared" si="3"/>
        <v>0.1</v>
      </c>
      <c r="AM23" s="525"/>
      <c r="AN23" s="526"/>
      <c r="AO23" s="624">
        <v>0.001</v>
      </c>
      <c r="AP23" s="625"/>
      <c r="AQ23" s="626"/>
      <c r="AR23" s="524">
        <f t="shared" si="4"/>
        <v>0.2</v>
      </c>
      <c r="AS23" s="525"/>
      <c r="AT23" s="526"/>
      <c r="AU23" s="331" t="s">
        <v>31</v>
      </c>
      <c r="AV23" s="328"/>
      <c r="AW23" s="328"/>
      <c r="AX23" s="329"/>
      <c r="BB23" s="109">
        <f t="shared" si="0"/>
        <v>2</v>
      </c>
      <c r="BC23" s="148" t="s">
        <v>168</v>
      </c>
      <c r="BD23" s="124"/>
      <c r="BE23" s="102" t="s">
        <v>279</v>
      </c>
    </row>
    <row r="24" spans="1:56" ht="15" customHeight="1">
      <c r="A24" s="4"/>
      <c r="B24" s="556"/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556"/>
      <c r="AD24" s="556"/>
      <c r="AE24" s="556"/>
      <c r="AF24" s="556"/>
      <c r="AG24" s="556"/>
      <c r="AH24" s="556"/>
      <c r="AI24" s="556"/>
      <c r="AJ24" s="556"/>
      <c r="AK24" s="556"/>
      <c r="AL24" s="556"/>
      <c r="AM24" s="556"/>
      <c r="AN24" s="556"/>
      <c r="AO24" s="556"/>
      <c r="AP24" s="556"/>
      <c r="AQ24" s="556"/>
      <c r="AR24" s="556"/>
      <c r="AS24" s="556"/>
      <c r="AT24" s="556"/>
      <c r="AU24" s="556"/>
      <c r="AV24" s="556"/>
      <c r="AW24" s="556"/>
      <c r="AX24" s="556"/>
      <c r="BD24" s="10"/>
    </row>
    <row r="25" spans="1:56" ht="17.25" customHeight="1">
      <c r="A25" s="9"/>
      <c r="B25" s="369" t="s">
        <v>158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0"/>
      <c r="AK25" s="370"/>
      <c r="AL25" s="370"/>
      <c r="AM25" s="370"/>
      <c r="AN25" s="371"/>
      <c r="AO25" s="596"/>
      <c r="AP25" s="369" t="s">
        <v>96</v>
      </c>
      <c r="AQ25" s="370"/>
      <c r="AR25" s="370"/>
      <c r="AS25" s="370"/>
      <c r="AT25" s="370"/>
      <c r="AU25" s="370"/>
      <c r="AV25" s="370"/>
      <c r="AW25" s="370"/>
      <c r="AX25" s="371"/>
      <c r="BB25" s="124" t="s">
        <v>222</v>
      </c>
      <c r="BD25" s="124" t="s">
        <v>288</v>
      </c>
    </row>
    <row r="26" spans="1:56" ht="18" customHeight="1">
      <c r="A26" s="184"/>
      <c r="B26" s="323" t="s">
        <v>420</v>
      </c>
      <c r="C26" s="317"/>
      <c r="D26" s="317"/>
      <c r="E26" s="324"/>
      <c r="F26" s="369" t="s">
        <v>160</v>
      </c>
      <c r="G26" s="370"/>
      <c r="H26" s="370"/>
      <c r="I26" s="370"/>
      <c r="J26" s="370"/>
      <c r="K26" s="370"/>
      <c r="L26" s="370"/>
      <c r="M26" s="370"/>
      <c r="N26" s="371"/>
      <c r="O26" s="370" t="s">
        <v>161</v>
      </c>
      <c r="P26" s="370"/>
      <c r="Q26" s="370"/>
      <c r="R26" s="370"/>
      <c r="S26" s="370"/>
      <c r="T26" s="370"/>
      <c r="U26" s="370"/>
      <c r="V26" s="370"/>
      <c r="W26" s="370"/>
      <c r="X26" s="370"/>
      <c r="Y26" s="370"/>
      <c r="Z26" s="370"/>
      <c r="AA26" s="371"/>
      <c r="AB26" s="370" t="s">
        <v>162</v>
      </c>
      <c r="AC26" s="370"/>
      <c r="AD26" s="370"/>
      <c r="AE26" s="370"/>
      <c r="AF26" s="370"/>
      <c r="AG26" s="370"/>
      <c r="AH26" s="370"/>
      <c r="AI26" s="370"/>
      <c r="AJ26" s="370"/>
      <c r="AK26" s="370"/>
      <c r="AL26" s="370"/>
      <c r="AM26" s="370"/>
      <c r="AN26" s="371"/>
      <c r="AO26" s="596"/>
      <c r="AP26" s="634" t="str">
        <f>IF('業務情報'!E9="","",'業務情報'!E9)</f>
        <v>Leica TCRA1105Plus No.206265</v>
      </c>
      <c r="AQ26" s="635"/>
      <c r="AR26" s="635"/>
      <c r="AS26" s="635"/>
      <c r="AT26" s="635"/>
      <c r="AU26" s="635"/>
      <c r="AV26" s="635"/>
      <c r="AW26" s="635"/>
      <c r="AX26" s="636"/>
      <c r="BB26" s="117" t="s">
        <v>226</v>
      </c>
      <c r="BC26" s="135" t="s">
        <v>289</v>
      </c>
      <c r="BD26" s="90">
        <v>0.2</v>
      </c>
    </row>
    <row r="27" spans="1:56" ht="18" customHeight="1">
      <c r="A27" s="184"/>
      <c r="B27" s="321"/>
      <c r="C27" s="314"/>
      <c r="D27" s="314"/>
      <c r="E27" s="319"/>
      <c r="F27" s="321" t="s">
        <v>427</v>
      </c>
      <c r="G27" s="314"/>
      <c r="H27" s="319"/>
      <c r="I27" s="318" t="s">
        <v>428</v>
      </c>
      <c r="J27" s="318"/>
      <c r="K27" s="318"/>
      <c r="L27" s="321" t="s">
        <v>429</v>
      </c>
      <c r="M27" s="314"/>
      <c r="N27" s="319"/>
      <c r="O27" s="318" t="s">
        <v>430</v>
      </c>
      <c r="P27" s="318"/>
      <c r="Q27" s="318"/>
      <c r="R27" s="318"/>
      <c r="S27" s="318"/>
      <c r="T27" s="369" t="s">
        <v>431</v>
      </c>
      <c r="U27" s="370"/>
      <c r="V27" s="370"/>
      <c r="W27" s="370"/>
      <c r="X27" s="371"/>
      <c r="Y27" s="318" t="s">
        <v>141</v>
      </c>
      <c r="Z27" s="318"/>
      <c r="AA27" s="320"/>
      <c r="AB27" s="370" t="s">
        <v>430</v>
      </c>
      <c r="AC27" s="370"/>
      <c r="AD27" s="370"/>
      <c r="AE27" s="370"/>
      <c r="AF27" s="371"/>
      <c r="AG27" s="370" t="s">
        <v>431</v>
      </c>
      <c r="AH27" s="370"/>
      <c r="AI27" s="370"/>
      <c r="AJ27" s="370"/>
      <c r="AK27" s="371"/>
      <c r="AL27" s="314" t="s">
        <v>141</v>
      </c>
      <c r="AM27" s="314"/>
      <c r="AN27" s="319"/>
      <c r="AO27" s="596"/>
      <c r="AP27" s="634">
        <f>IF('業務情報'!E10="","",'業務情報'!E10)</f>
      </c>
      <c r="AQ27" s="635"/>
      <c r="AR27" s="635"/>
      <c r="AS27" s="635"/>
      <c r="AT27" s="635"/>
      <c r="AU27" s="635"/>
      <c r="AV27" s="635"/>
      <c r="AW27" s="635"/>
      <c r="AX27" s="636"/>
      <c r="BA27" s="1"/>
      <c r="BB27" s="223">
        <v>0.1</v>
      </c>
      <c r="BC27" s="129">
        <v>0.02</v>
      </c>
      <c r="BD27" s="91">
        <v>0.05</v>
      </c>
    </row>
    <row r="28" spans="1:57" ht="17.25" customHeight="1">
      <c r="A28" s="1"/>
      <c r="B28" s="540"/>
      <c r="C28" s="542"/>
      <c r="D28" s="542"/>
      <c r="E28" s="541"/>
      <c r="F28" s="492" t="s">
        <v>301</v>
      </c>
      <c r="G28" s="493"/>
      <c r="H28" s="494"/>
      <c r="I28" s="493" t="s">
        <v>301</v>
      </c>
      <c r="J28" s="493"/>
      <c r="K28" s="494"/>
      <c r="L28" s="493" t="s">
        <v>301</v>
      </c>
      <c r="M28" s="493"/>
      <c r="N28" s="494"/>
      <c r="O28" s="197"/>
      <c r="P28" s="197" t="s">
        <v>303</v>
      </c>
      <c r="Q28" s="197" t="s">
        <v>299</v>
      </c>
      <c r="R28" s="197" t="s">
        <v>297</v>
      </c>
      <c r="S28" s="198"/>
      <c r="T28" s="199"/>
      <c r="U28" s="197" t="s">
        <v>303</v>
      </c>
      <c r="V28" s="197" t="s">
        <v>299</v>
      </c>
      <c r="W28" s="197" t="s">
        <v>297</v>
      </c>
      <c r="X28" s="200"/>
      <c r="Y28" s="551" t="s">
        <v>297</v>
      </c>
      <c r="Z28" s="551"/>
      <c r="AA28" s="552"/>
      <c r="AB28" s="197"/>
      <c r="AC28" s="197" t="s">
        <v>303</v>
      </c>
      <c r="AD28" s="197" t="s">
        <v>299</v>
      </c>
      <c r="AE28" s="197" t="s">
        <v>297</v>
      </c>
      <c r="AF28" s="201"/>
      <c r="AG28" s="197"/>
      <c r="AH28" s="197" t="s">
        <v>303</v>
      </c>
      <c r="AI28" s="197" t="s">
        <v>299</v>
      </c>
      <c r="AJ28" s="197" t="s">
        <v>297</v>
      </c>
      <c r="AK28" s="201"/>
      <c r="AL28" s="551" t="s">
        <v>297</v>
      </c>
      <c r="AM28" s="551"/>
      <c r="AN28" s="552"/>
      <c r="AO28" s="596"/>
      <c r="AP28" s="634" t="str">
        <f>IF('業務情報'!E11="","",'業務情報'!E11)</f>
        <v>気圧計 アネロイド式</v>
      </c>
      <c r="AQ28" s="635"/>
      <c r="AR28" s="635"/>
      <c r="AS28" s="635"/>
      <c r="AT28" s="635"/>
      <c r="AU28" s="635"/>
      <c r="AV28" s="635"/>
      <c r="AW28" s="635"/>
      <c r="AX28" s="636"/>
      <c r="BA28" s="1"/>
      <c r="BB28" s="69">
        <v>0.1</v>
      </c>
      <c r="BC28" s="130">
        <v>0.03</v>
      </c>
      <c r="BD28" s="92">
        <v>0.1</v>
      </c>
      <c r="BE28" s="101">
        <f aca="true" t="shared" si="5" ref="BE28:BE36">IF(OR(B15="",E15=""),5,IF($BE$19=0,1,IF($I15="",2,IF($N15="",3,IF($BB15=0,4,0)))))</f>
        <v>5</v>
      </c>
    </row>
    <row r="29" spans="1:57" ht="17.25" customHeight="1">
      <c r="A29" s="1"/>
      <c r="B29" s="372"/>
      <c r="C29" s="373"/>
      <c r="D29" s="373"/>
      <c r="E29" s="349"/>
      <c r="F29" s="379"/>
      <c r="G29" s="332"/>
      <c r="H29" s="330"/>
      <c r="I29" s="332"/>
      <c r="J29" s="332"/>
      <c r="K29" s="330"/>
      <c r="L29" s="518">
        <f>IF(OR(F29="",I29=""),"",ABS(F29-I29))</f>
      </c>
      <c r="M29" s="518"/>
      <c r="N29" s="519"/>
      <c r="O29" s="536"/>
      <c r="P29" s="520"/>
      <c r="Q29" s="189"/>
      <c r="R29" s="189"/>
      <c r="S29" s="224"/>
      <c r="T29" s="536"/>
      <c r="U29" s="520"/>
      <c r="V29" s="189"/>
      <c r="W29" s="189"/>
      <c r="X29" s="190"/>
      <c r="Y29" s="591">
        <f>IF(OR(COUNTA(O29:R29)&lt;3,COUNTA(T29:W29)&lt;3),"",(O29-T29)*3600+(Q29-V29)*60+(R29-W29))</f>
      </c>
      <c r="Z29" s="591"/>
      <c r="AA29" s="592"/>
      <c r="AB29" s="536"/>
      <c r="AC29" s="520"/>
      <c r="AD29" s="189"/>
      <c r="AE29" s="189"/>
      <c r="AF29" s="226"/>
      <c r="AG29" s="536"/>
      <c r="AH29" s="520"/>
      <c r="AI29" s="189"/>
      <c r="AJ29" s="189"/>
      <c r="AK29" s="226"/>
      <c r="AL29" s="581">
        <f aca="true" t="shared" si="6" ref="AL29:AL36">IF(OR(COUNTA(AB29:AE29)&lt;3,COUNTA(AG29:AJ29)&lt;3),"",IF(LEFT($AB29,1)="+",(AB29-AG29)*3600+(AD29-AI29)*60+(AE29-AJ29),-1*((AB29-AG29)*3600+(AD29-AI29)*60+(AE29-AJ29))))</f>
      </c>
      <c r="AM29" s="582"/>
      <c r="AN29" s="583"/>
      <c r="AO29" s="596"/>
      <c r="AP29" s="369" t="s">
        <v>175</v>
      </c>
      <c r="AQ29" s="370"/>
      <c r="AR29" s="370"/>
      <c r="AS29" s="370"/>
      <c r="AT29" s="370"/>
      <c r="AU29" s="370"/>
      <c r="AV29" s="370"/>
      <c r="AW29" s="370"/>
      <c r="AX29" s="371"/>
      <c r="BA29" s="1"/>
      <c r="BB29" s="69">
        <v>0.15</v>
      </c>
      <c r="BC29" s="130">
        <v>0.05</v>
      </c>
      <c r="BD29" s="92">
        <v>0.15</v>
      </c>
      <c r="BE29" s="103">
        <f t="shared" si="5"/>
        <v>5</v>
      </c>
    </row>
    <row r="30" spans="1:57" ht="17.25" customHeight="1">
      <c r="A30" s="1"/>
      <c r="B30" s="372"/>
      <c r="C30" s="373"/>
      <c r="D30" s="373"/>
      <c r="E30" s="349"/>
      <c r="F30" s="379"/>
      <c r="G30" s="332"/>
      <c r="H30" s="330"/>
      <c r="I30" s="332"/>
      <c r="J30" s="332"/>
      <c r="K30" s="330"/>
      <c r="L30" s="517">
        <f aca="true" t="shared" si="7" ref="L30:L36">IF(OR(F30="",I30=""),"",ABS(F30-I30))</f>
      </c>
      <c r="M30" s="518"/>
      <c r="N30" s="519"/>
      <c r="O30" s="536"/>
      <c r="P30" s="520"/>
      <c r="Q30" s="189"/>
      <c r="R30" s="189"/>
      <c r="S30" s="224"/>
      <c r="T30" s="536"/>
      <c r="U30" s="520"/>
      <c r="V30" s="189"/>
      <c r="W30" s="189"/>
      <c r="X30" s="190"/>
      <c r="Y30" s="590">
        <f aca="true" t="shared" si="8" ref="Y30:Y36">IF(OR(COUNTA(O30:R30)&lt;3,COUNTA(T30:W30)&lt;3),"",(O30-T30)*3600+(Q30-V30)*60+(R30-W30))</f>
      </c>
      <c r="Z30" s="591"/>
      <c r="AA30" s="592"/>
      <c r="AB30" s="536"/>
      <c r="AC30" s="520"/>
      <c r="AD30" s="189"/>
      <c r="AE30" s="189"/>
      <c r="AF30" s="226"/>
      <c r="AG30" s="536"/>
      <c r="AH30" s="520"/>
      <c r="AI30" s="189"/>
      <c r="AJ30" s="189"/>
      <c r="AK30" s="226"/>
      <c r="AL30" s="581">
        <f t="shared" si="6"/>
      </c>
      <c r="AM30" s="582"/>
      <c r="AN30" s="583"/>
      <c r="AO30" s="596"/>
      <c r="AP30" s="369" t="s">
        <v>432</v>
      </c>
      <c r="AQ30" s="370"/>
      <c r="AR30" s="370"/>
      <c r="AS30" s="371"/>
      <c r="AT30" s="369" t="s">
        <v>457</v>
      </c>
      <c r="AU30" s="371"/>
      <c r="AV30" s="370" t="s">
        <v>178</v>
      </c>
      <c r="AW30" s="370"/>
      <c r="AX30" s="371"/>
      <c r="BA30" s="1"/>
      <c r="BB30" s="150">
        <v>0.15</v>
      </c>
      <c r="BC30" s="131">
        <v>0.1</v>
      </c>
      <c r="BD30" s="93">
        <v>0.3</v>
      </c>
      <c r="BE30" s="103">
        <f t="shared" si="5"/>
        <v>5</v>
      </c>
    </row>
    <row r="31" spans="1:57" ht="17.25" customHeight="1">
      <c r="A31" s="1"/>
      <c r="B31" s="372"/>
      <c r="C31" s="373"/>
      <c r="D31" s="373"/>
      <c r="E31" s="349"/>
      <c r="F31" s="379"/>
      <c r="G31" s="332"/>
      <c r="H31" s="330"/>
      <c r="I31" s="332"/>
      <c r="J31" s="332"/>
      <c r="K31" s="330"/>
      <c r="L31" s="517">
        <f t="shared" si="7"/>
      </c>
      <c r="M31" s="518"/>
      <c r="N31" s="519"/>
      <c r="O31" s="536"/>
      <c r="P31" s="520"/>
      <c r="Q31" s="189"/>
      <c r="R31" s="189"/>
      <c r="S31" s="224"/>
      <c r="T31" s="536"/>
      <c r="U31" s="520"/>
      <c r="V31" s="189"/>
      <c r="W31" s="189"/>
      <c r="X31" s="190"/>
      <c r="Y31" s="590">
        <f t="shared" si="8"/>
      </c>
      <c r="Z31" s="591"/>
      <c r="AA31" s="592"/>
      <c r="AB31" s="536"/>
      <c r="AC31" s="520"/>
      <c r="AD31" s="189"/>
      <c r="AE31" s="189"/>
      <c r="AF31" s="226"/>
      <c r="AG31" s="536"/>
      <c r="AH31" s="520"/>
      <c r="AI31" s="189"/>
      <c r="AJ31" s="189"/>
      <c r="AK31" s="226"/>
      <c r="AL31" s="581">
        <f t="shared" si="6"/>
      </c>
      <c r="AM31" s="582"/>
      <c r="AN31" s="583"/>
      <c r="AO31" s="596"/>
      <c r="AP31" s="628"/>
      <c r="AQ31" s="629"/>
      <c r="AR31" s="629"/>
      <c r="AS31" s="630"/>
      <c r="AT31" s="628"/>
      <c r="AU31" s="630"/>
      <c r="AV31" s="629"/>
      <c r="AW31" s="629"/>
      <c r="AX31" s="630"/>
      <c r="BA31" s="1"/>
      <c r="BB31" s="124" t="s">
        <v>290</v>
      </c>
      <c r="BD31" s="124"/>
      <c r="BE31" s="103">
        <f t="shared" si="5"/>
        <v>5</v>
      </c>
    </row>
    <row r="32" spans="1:57" ht="17.25" customHeight="1">
      <c r="A32" s="1"/>
      <c r="B32" s="372"/>
      <c r="C32" s="373"/>
      <c r="D32" s="373"/>
      <c r="E32" s="349"/>
      <c r="F32" s="379"/>
      <c r="G32" s="332"/>
      <c r="H32" s="330"/>
      <c r="I32" s="332"/>
      <c r="J32" s="332"/>
      <c r="K32" s="330"/>
      <c r="L32" s="517">
        <f t="shared" si="7"/>
      </c>
      <c r="M32" s="518"/>
      <c r="N32" s="519"/>
      <c r="O32" s="536"/>
      <c r="P32" s="520"/>
      <c r="Q32" s="189"/>
      <c r="R32" s="189"/>
      <c r="S32" s="224"/>
      <c r="T32" s="536"/>
      <c r="U32" s="520"/>
      <c r="V32" s="189"/>
      <c r="W32" s="189"/>
      <c r="X32" s="190"/>
      <c r="Y32" s="590">
        <f t="shared" si="8"/>
      </c>
      <c r="Z32" s="591"/>
      <c r="AA32" s="592"/>
      <c r="AB32" s="536"/>
      <c r="AC32" s="520"/>
      <c r="AD32" s="189"/>
      <c r="AE32" s="189"/>
      <c r="AF32" s="226"/>
      <c r="AG32" s="536"/>
      <c r="AH32" s="520"/>
      <c r="AI32" s="189"/>
      <c r="AJ32" s="189"/>
      <c r="AK32" s="226"/>
      <c r="AL32" s="581">
        <f t="shared" si="6"/>
      </c>
      <c r="AM32" s="582"/>
      <c r="AN32" s="583"/>
      <c r="AO32" s="596"/>
      <c r="AP32" s="628"/>
      <c r="AQ32" s="629"/>
      <c r="AR32" s="629"/>
      <c r="AS32" s="630"/>
      <c r="AT32" s="628"/>
      <c r="AU32" s="630"/>
      <c r="AV32" s="629"/>
      <c r="AW32" s="629"/>
      <c r="AX32" s="630"/>
      <c r="BA32" s="1"/>
      <c r="BB32" s="128" t="s">
        <v>291</v>
      </c>
      <c r="BD32" s="124" t="s">
        <v>292</v>
      </c>
      <c r="BE32" s="103">
        <f t="shared" si="5"/>
        <v>5</v>
      </c>
    </row>
    <row r="33" spans="1:57" ht="17.25" customHeight="1">
      <c r="A33" s="1"/>
      <c r="B33" s="372"/>
      <c r="C33" s="373"/>
      <c r="D33" s="373"/>
      <c r="E33" s="349"/>
      <c r="F33" s="379"/>
      <c r="G33" s="332"/>
      <c r="H33" s="330"/>
      <c r="I33" s="332"/>
      <c r="J33" s="332"/>
      <c r="K33" s="330"/>
      <c r="L33" s="517">
        <f t="shared" si="7"/>
      </c>
      <c r="M33" s="518"/>
      <c r="N33" s="519"/>
      <c r="O33" s="536"/>
      <c r="P33" s="520"/>
      <c r="Q33" s="189"/>
      <c r="R33" s="189"/>
      <c r="S33" s="224"/>
      <c r="T33" s="536"/>
      <c r="U33" s="520"/>
      <c r="V33" s="189"/>
      <c r="W33" s="189"/>
      <c r="X33" s="190"/>
      <c r="Y33" s="590">
        <f t="shared" si="8"/>
      </c>
      <c r="Z33" s="591"/>
      <c r="AA33" s="592"/>
      <c r="AB33" s="536"/>
      <c r="AC33" s="520"/>
      <c r="AD33" s="189"/>
      <c r="AE33" s="189"/>
      <c r="AF33" s="226"/>
      <c r="AG33" s="536"/>
      <c r="AH33" s="520"/>
      <c r="AI33" s="189"/>
      <c r="AJ33" s="189"/>
      <c r="AK33" s="226"/>
      <c r="AL33" s="581">
        <f t="shared" si="6"/>
      </c>
      <c r="AM33" s="582"/>
      <c r="AN33" s="583"/>
      <c r="AO33" s="596"/>
      <c r="AP33" s="631"/>
      <c r="AQ33" s="632"/>
      <c r="AR33" s="632"/>
      <c r="AS33" s="633"/>
      <c r="AT33" s="631"/>
      <c r="AU33" s="633"/>
      <c r="AV33" s="631"/>
      <c r="AW33" s="632"/>
      <c r="AX33" s="633"/>
      <c r="BA33" s="1"/>
      <c r="BB33" s="129">
        <v>0.01</v>
      </c>
      <c r="BC33" s="69"/>
      <c r="BD33" s="91">
        <v>0.05</v>
      </c>
      <c r="BE33" s="103">
        <f t="shared" si="5"/>
        <v>5</v>
      </c>
    </row>
    <row r="34" spans="1:57" ht="17.25" customHeight="1">
      <c r="A34" s="1"/>
      <c r="B34" s="372"/>
      <c r="C34" s="373"/>
      <c r="D34" s="373"/>
      <c r="E34" s="349"/>
      <c r="F34" s="379"/>
      <c r="G34" s="332"/>
      <c r="H34" s="330"/>
      <c r="I34" s="332"/>
      <c r="J34" s="332"/>
      <c r="K34" s="330"/>
      <c r="L34" s="517">
        <f t="shared" si="7"/>
      </c>
      <c r="M34" s="518"/>
      <c r="N34" s="519"/>
      <c r="O34" s="536"/>
      <c r="P34" s="520"/>
      <c r="Q34" s="189"/>
      <c r="R34" s="189"/>
      <c r="S34" s="224"/>
      <c r="T34" s="536"/>
      <c r="U34" s="520"/>
      <c r="V34" s="189"/>
      <c r="W34" s="189"/>
      <c r="X34" s="190"/>
      <c r="Y34" s="590">
        <f t="shared" si="8"/>
      </c>
      <c r="Z34" s="591"/>
      <c r="AA34" s="592"/>
      <c r="AB34" s="536"/>
      <c r="AC34" s="520"/>
      <c r="AD34" s="189"/>
      <c r="AE34" s="189"/>
      <c r="AF34" s="226"/>
      <c r="AG34" s="536"/>
      <c r="AH34" s="520"/>
      <c r="AI34" s="189"/>
      <c r="AJ34" s="189"/>
      <c r="AK34" s="226"/>
      <c r="AL34" s="581">
        <f t="shared" si="6"/>
      </c>
      <c r="AM34" s="582"/>
      <c r="AN34" s="583"/>
      <c r="AO34" s="596"/>
      <c r="AP34" s="369" t="s">
        <v>179</v>
      </c>
      <c r="AQ34" s="370"/>
      <c r="AR34" s="370"/>
      <c r="AS34" s="370"/>
      <c r="AT34" s="370"/>
      <c r="AU34" s="370"/>
      <c r="AV34" s="370"/>
      <c r="AW34" s="370"/>
      <c r="AX34" s="371"/>
      <c r="BA34" s="1"/>
      <c r="BB34" s="130">
        <v>0.015</v>
      </c>
      <c r="BC34" s="69"/>
      <c r="BD34" s="92">
        <v>0.1</v>
      </c>
      <c r="BE34" s="103">
        <f t="shared" si="5"/>
        <v>5</v>
      </c>
    </row>
    <row r="35" spans="1:57" ht="17.25" customHeight="1">
      <c r="A35" s="1"/>
      <c r="B35" s="372"/>
      <c r="C35" s="373"/>
      <c r="D35" s="373"/>
      <c r="E35" s="349"/>
      <c r="F35" s="379"/>
      <c r="G35" s="332"/>
      <c r="H35" s="330"/>
      <c r="I35" s="332"/>
      <c r="J35" s="332"/>
      <c r="K35" s="330"/>
      <c r="L35" s="517">
        <f t="shared" si="7"/>
      </c>
      <c r="M35" s="518"/>
      <c r="N35" s="519"/>
      <c r="O35" s="536"/>
      <c r="P35" s="520"/>
      <c r="Q35" s="189"/>
      <c r="R35" s="189"/>
      <c r="S35" s="224"/>
      <c r="T35" s="536"/>
      <c r="U35" s="520"/>
      <c r="V35" s="189"/>
      <c r="W35" s="189"/>
      <c r="X35" s="190"/>
      <c r="Y35" s="590">
        <f t="shared" si="8"/>
      </c>
      <c r="Z35" s="591"/>
      <c r="AA35" s="592"/>
      <c r="AB35" s="536"/>
      <c r="AC35" s="520"/>
      <c r="AD35" s="189"/>
      <c r="AE35" s="189"/>
      <c r="AF35" s="226"/>
      <c r="AG35" s="536"/>
      <c r="AH35" s="520"/>
      <c r="AI35" s="189"/>
      <c r="AJ35" s="189"/>
      <c r="AK35" s="226"/>
      <c r="AL35" s="581">
        <f t="shared" si="6"/>
      </c>
      <c r="AM35" s="582"/>
      <c r="AN35" s="583"/>
      <c r="AO35" s="596"/>
      <c r="AP35" s="628"/>
      <c r="AQ35" s="629"/>
      <c r="AR35" s="629"/>
      <c r="AS35" s="629"/>
      <c r="AT35" s="629"/>
      <c r="AU35" s="629"/>
      <c r="AV35" s="629"/>
      <c r="AW35" s="629"/>
      <c r="AX35" s="630"/>
      <c r="BA35" s="1"/>
      <c r="BB35" s="130">
        <v>0.025</v>
      </c>
      <c r="BC35" s="69"/>
      <c r="BD35" s="92">
        <v>0.15</v>
      </c>
      <c r="BE35" s="103">
        <f t="shared" si="5"/>
        <v>5</v>
      </c>
    </row>
    <row r="36" spans="1:57" ht="17.25" customHeight="1">
      <c r="A36" s="1"/>
      <c r="B36" s="331"/>
      <c r="C36" s="328"/>
      <c r="D36" s="328"/>
      <c r="E36" s="329"/>
      <c r="F36" s="412"/>
      <c r="G36" s="413"/>
      <c r="H36" s="414"/>
      <c r="I36" s="413"/>
      <c r="J36" s="413"/>
      <c r="K36" s="414"/>
      <c r="L36" s="524">
        <f t="shared" si="7"/>
      </c>
      <c r="M36" s="525"/>
      <c r="N36" s="526"/>
      <c r="O36" s="627"/>
      <c r="P36" s="513"/>
      <c r="Q36" s="192"/>
      <c r="R36" s="192"/>
      <c r="S36" s="225"/>
      <c r="T36" s="627"/>
      <c r="U36" s="513"/>
      <c r="V36" s="192"/>
      <c r="W36" s="192"/>
      <c r="X36" s="193"/>
      <c r="Y36" s="593">
        <f t="shared" si="8"/>
      </c>
      <c r="Z36" s="594"/>
      <c r="AA36" s="595"/>
      <c r="AB36" s="627"/>
      <c r="AC36" s="513"/>
      <c r="AD36" s="192"/>
      <c r="AE36" s="192"/>
      <c r="AF36" s="227"/>
      <c r="AG36" s="627"/>
      <c r="AH36" s="513"/>
      <c r="AI36" s="192"/>
      <c r="AJ36" s="192"/>
      <c r="AK36" s="227"/>
      <c r="AL36" s="587">
        <f t="shared" si="6"/>
      </c>
      <c r="AM36" s="588"/>
      <c r="AN36" s="589"/>
      <c r="AO36" s="596"/>
      <c r="AP36" s="631"/>
      <c r="AQ36" s="632"/>
      <c r="AR36" s="632"/>
      <c r="AS36" s="632"/>
      <c r="AT36" s="632"/>
      <c r="AU36" s="632"/>
      <c r="AV36" s="632"/>
      <c r="AW36" s="632"/>
      <c r="AX36" s="633"/>
      <c r="AY36" s="1"/>
      <c r="BA36" s="1"/>
      <c r="BB36" s="131">
        <v>0.05</v>
      </c>
      <c r="BC36" s="69"/>
      <c r="BD36" s="93">
        <v>0.3</v>
      </c>
      <c r="BE36" s="102">
        <f t="shared" si="5"/>
        <v>5</v>
      </c>
    </row>
    <row r="37" spans="1:55" ht="15" customHeight="1">
      <c r="A37" s="1"/>
      <c r="B37" s="1"/>
      <c r="C37" s="1"/>
      <c r="D37" s="1"/>
      <c r="E37" s="1"/>
      <c r="V37"/>
      <c r="W37"/>
      <c r="X37"/>
      <c r="BB37"/>
      <c r="BC37"/>
    </row>
    <row r="38" spans="1:55" ht="13.5">
      <c r="A38" s="1"/>
      <c r="V38"/>
      <c r="W38"/>
      <c r="X38"/>
      <c r="BB38"/>
      <c r="BC38"/>
    </row>
    <row r="39" spans="2:55" ht="17.25">
      <c r="B39" s="296" t="s">
        <v>0</v>
      </c>
      <c r="V39"/>
      <c r="W39"/>
      <c r="X39"/>
      <c r="BB39"/>
      <c r="BC39"/>
    </row>
    <row r="40" spans="2:55" ht="17.25">
      <c r="B40" s="296" t="s">
        <v>17</v>
      </c>
      <c r="V40"/>
      <c r="W40"/>
      <c r="X40"/>
      <c r="BB40"/>
      <c r="BC40"/>
    </row>
    <row r="41" spans="22:55" ht="13.5">
      <c r="V41"/>
      <c r="W41"/>
      <c r="X41"/>
      <c r="BB41"/>
      <c r="BC41"/>
    </row>
    <row r="42" spans="22:55" ht="13.5">
      <c r="V42"/>
      <c r="W42"/>
      <c r="X42"/>
      <c r="BB42"/>
      <c r="BC42"/>
    </row>
    <row r="43" spans="22:55" ht="13.5">
      <c r="V43"/>
      <c r="W43"/>
      <c r="X43"/>
      <c r="BB43"/>
      <c r="BC43"/>
    </row>
    <row r="44" spans="22:55" ht="13.5">
      <c r="V44"/>
      <c r="W44"/>
      <c r="X44"/>
      <c r="BB44"/>
      <c r="BC44"/>
    </row>
    <row r="45" spans="22:55" ht="12.75">
      <c r="V45"/>
      <c r="W45"/>
      <c r="X45"/>
      <c r="BB45"/>
      <c r="BC45"/>
    </row>
    <row r="46" spans="22:55" ht="12.75">
      <c r="V46"/>
      <c r="W46"/>
      <c r="X46"/>
      <c r="BB46"/>
      <c r="BC46"/>
    </row>
    <row r="47" spans="22:55" ht="12.75">
      <c r="V47"/>
      <c r="W47"/>
      <c r="X47"/>
      <c r="BB47"/>
      <c r="BC47"/>
    </row>
    <row r="48" spans="22:55" ht="12.75">
      <c r="V48"/>
      <c r="W48"/>
      <c r="X48"/>
      <c r="BB48"/>
      <c r="BC48"/>
    </row>
    <row r="49" spans="22:55" ht="12.75">
      <c r="V49"/>
      <c r="W49"/>
      <c r="X49"/>
      <c r="BB49"/>
      <c r="BC49"/>
    </row>
    <row r="50" spans="22:55" ht="12.75">
      <c r="V50"/>
      <c r="W50"/>
      <c r="X50"/>
      <c r="BB50"/>
      <c r="BC50"/>
    </row>
    <row r="51" spans="22:55" ht="12.75">
      <c r="V51"/>
      <c r="W51"/>
      <c r="X51"/>
      <c r="BB51"/>
      <c r="BC51"/>
    </row>
    <row r="52" spans="22:55" ht="12.75">
      <c r="V52"/>
      <c r="W52"/>
      <c r="X52"/>
      <c r="BB52"/>
      <c r="BC52"/>
    </row>
    <row r="53" spans="22:55" ht="12.75">
      <c r="V53"/>
      <c r="W53"/>
      <c r="X53"/>
      <c r="BB53" s="10"/>
      <c r="BC53" s="10"/>
    </row>
    <row r="54" spans="22:55" ht="12.75">
      <c r="V54"/>
      <c r="W54"/>
      <c r="X54"/>
      <c r="BB54" s="10"/>
      <c r="BC54" s="10"/>
    </row>
    <row r="55" spans="22:55" ht="12.75">
      <c r="V55"/>
      <c r="W55"/>
      <c r="X55"/>
      <c r="BB55" s="10"/>
      <c r="BC55" s="10"/>
    </row>
    <row r="56" spans="22:55" ht="12.75">
      <c r="V56"/>
      <c r="W56"/>
      <c r="X56"/>
      <c r="BB56" s="10"/>
      <c r="BC56" s="10"/>
    </row>
    <row r="57" spans="22:55" ht="12.75">
      <c r="V57"/>
      <c r="W57"/>
      <c r="X57"/>
      <c r="BB57" s="10"/>
      <c r="BC57" s="10"/>
    </row>
    <row r="58" spans="22:55" ht="12.75">
      <c r="V58"/>
      <c r="W58"/>
      <c r="X58"/>
      <c r="BB58" s="10"/>
      <c r="BC58" s="10"/>
    </row>
    <row r="59" spans="22:55" ht="12.75">
      <c r="V59"/>
      <c r="W59"/>
      <c r="X59"/>
      <c r="BB59" s="10"/>
      <c r="BC59" s="10"/>
    </row>
    <row r="60" spans="22:55" ht="12.75">
      <c r="V60"/>
      <c r="W60"/>
      <c r="X60"/>
      <c r="BB60" s="10"/>
      <c r="BC60" s="10"/>
    </row>
    <row r="61" spans="22:55" ht="12.75">
      <c r="V61"/>
      <c r="W61"/>
      <c r="X61"/>
      <c r="BB61" s="10"/>
      <c r="BC61" s="10"/>
    </row>
    <row r="62" spans="22:55" ht="12.75">
      <c r="V62"/>
      <c r="W62"/>
      <c r="X62"/>
      <c r="BB62" s="10"/>
      <c r="BC62" s="10"/>
    </row>
    <row r="63" spans="22:55" ht="12.75">
      <c r="V63"/>
      <c r="W63"/>
      <c r="X63"/>
      <c r="BB63" s="10"/>
      <c r="BC63" s="10"/>
    </row>
    <row r="64" spans="22:55" ht="12.75">
      <c r="V64"/>
      <c r="W64"/>
      <c r="X64"/>
      <c r="BB64" s="10"/>
      <c r="BC64" s="10"/>
    </row>
    <row r="65" spans="54:55" ht="12.75">
      <c r="BB65" s="10"/>
      <c r="BC65" s="10"/>
    </row>
    <row r="66" spans="54:55" ht="12.75">
      <c r="BB66" s="10"/>
      <c r="BC66" s="10"/>
    </row>
  </sheetData>
  <sheetProtection formatCells="0"/>
  <mergeCells count="329">
    <mergeCell ref="AB36:AC36"/>
    <mergeCell ref="T29:U29"/>
    <mergeCell ref="T30:U30"/>
    <mergeCell ref="T31:U31"/>
    <mergeCell ref="T32:U32"/>
    <mergeCell ref="T33:U33"/>
    <mergeCell ref="T34:U34"/>
    <mergeCell ref="T35:U35"/>
    <mergeCell ref="T36:U36"/>
    <mergeCell ref="Y35:AA35"/>
    <mergeCell ref="AG34:AH34"/>
    <mergeCell ref="AG35:AH35"/>
    <mergeCell ref="AG36:AH36"/>
    <mergeCell ref="AB29:AC29"/>
    <mergeCell ref="AB30:AC30"/>
    <mergeCell ref="AB31:AC31"/>
    <mergeCell ref="AB32:AC32"/>
    <mergeCell ref="AB33:AC33"/>
    <mergeCell ref="AB34:AC34"/>
    <mergeCell ref="AB35:AC35"/>
    <mergeCell ref="Y36:AA36"/>
    <mergeCell ref="B25:AN25"/>
    <mergeCell ref="O26:AA26"/>
    <mergeCell ref="T27:X27"/>
    <mergeCell ref="O27:S27"/>
    <mergeCell ref="AB26:AN26"/>
    <mergeCell ref="AG27:AK27"/>
    <mergeCell ref="AB27:AF27"/>
    <mergeCell ref="AG29:AH29"/>
    <mergeCell ref="AL34:AN34"/>
    <mergeCell ref="AL35:AN35"/>
    <mergeCell ref="AL36:AN36"/>
    <mergeCell ref="Y27:AA27"/>
    <mergeCell ref="Y28:AA28"/>
    <mergeCell ref="Y29:AA29"/>
    <mergeCell ref="Y30:AA30"/>
    <mergeCell ref="Y31:AA31"/>
    <mergeCell ref="Y32:AA32"/>
    <mergeCell ref="Y33:AA33"/>
    <mergeCell ref="AG31:AH31"/>
    <mergeCell ref="AP34:AX34"/>
    <mergeCell ref="AP35:AX35"/>
    <mergeCell ref="AP36:AX36"/>
    <mergeCell ref="AL27:AN27"/>
    <mergeCell ref="AL28:AN28"/>
    <mergeCell ref="AL29:AN29"/>
    <mergeCell ref="AL30:AN30"/>
    <mergeCell ref="AL31:AN31"/>
    <mergeCell ref="AL32:AN32"/>
    <mergeCell ref="AL33:AN33"/>
    <mergeCell ref="AP31:AS31"/>
    <mergeCell ref="AP29:AX29"/>
    <mergeCell ref="AP25:AX25"/>
    <mergeCell ref="AP26:AX26"/>
    <mergeCell ref="AP27:AX27"/>
    <mergeCell ref="AP28:AX28"/>
    <mergeCell ref="AT30:AU30"/>
    <mergeCell ref="AT31:AU31"/>
    <mergeCell ref="AT32:AU32"/>
    <mergeCell ref="AT33:AU33"/>
    <mergeCell ref="AV30:AX30"/>
    <mergeCell ref="AV31:AX31"/>
    <mergeCell ref="AV32:AX32"/>
    <mergeCell ref="AV33:AX33"/>
    <mergeCell ref="AO19:AQ19"/>
    <mergeCell ref="AO20:AQ20"/>
    <mergeCell ref="AU22:AX22"/>
    <mergeCell ref="AP30:AS30"/>
    <mergeCell ref="AR23:AT23"/>
    <mergeCell ref="AU23:AX23"/>
    <mergeCell ref="B24:AX24"/>
    <mergeCell ref="AF23:AH23"/>
    <mergeCell ref="AB23:AC23"/>
    <mergeCell ref="AG30:AH30"/>
    <mergeCell ref="AR19:AT19"/>
    <mergeCell ref="AU15:AX15"/>
    <mergeCell ref="AP32:AS32"/>
    <mergeCell ref="AP33:AS33"/>
    <mergeCell ref="AR22:AT22"/>
    <mergeCell ref="AU18:AX18"/>
    <mergeCell ref="AU19:AX19"/>
    <mergeCell ref="AU20:AX20"/>
    <mergeCell ref="AU21:AX21"/>
    <mergeCell ref="AR18:AT18"/>
    <mergeCell ref="AR17:AT17"/>
    <mergeCell ref="AU16:AX16"/>
    <mergeCell ref="AU17:AX17"/>
    <mergeCell ref="AU12:AX14"/>
    <mergeCell ref="AR16:AT16"/>
    <mergeCell ref="AR20:AT20"/>
    <mergeCell ref="AO23:AQ23"/>
    <mergeCell ref="AL21:AN21"/>
    <mergeCell ref="AL22:AN22"/>
    <mergeCell ref="AO22:AQ22"/>
    <mergeCell ref="AO21:AQ21"/>
    <mergeCell ref="AR21:AT21"/>
    <mergeCell ref="AL23:AN23"/>
    <mergeCell ref="AL19:AN19"/>
    <mergeCell ref="AL20:AN20"/>
    <mergeCell ref="AF20:AH20"/>
    <mergeCell ref="AF19:AH19"/>
    <mergeCell ref="AF18:AH18"/>
    <mergeCell ref="AF12:AT12"/>
    <mergeCell ref="AF13:AT13"/>
    <mergeCell ref="AI14:AK14"/>
    <mergeCell ref="AR15:AT15"/>
    <mergeCell ref="AF14:AH14"/>
    <mergeCell ref="AO17:AQ17"/>
    <mergeCell ref="AF16:AH16"/>
    <mergeCell ref="AF17:AH17"/>
    <mergeCell ref="AR14:AT14"/>
    <mergeCell ref="AI18:AK18"/>
    <mergeCell ref="AI15:AK15"/>
    <mergeCell ref="AI16:AK16"/>
    <mergeCell ref="AI17:AK17"/>
    <mergeCell ref="AO18:AQ18"/>
    <mergeCell ref="AL15:AN15"/>
    <mergeCell ref="AL16:AN16"/>
    <mergeCell ref="AO15:AQ15"/>
    <mergeCell ref="AO16:AQ16"/>
    <mergeCell ref="AL18:AN18"/>
    <mergeCell ref="AL17:AN17"/>
    <mergeCell ref="AB22:AC22"/>
    <mergeCell ref="AB20:AC20"/>
    <mergeCell ref="AB21:AC21"/>
    <mergeCell ref="AB19:AC19"/>
    <mergeCell ref="AG32:AH32"/>
    <mergeCell ref="AG33:AH33"/>
    <mergeCell ref="F32:H32"/>
    <mergeCell ref="F33:H33"/>
    <mergeCell ref="I33:K33"/>
    <mergeCell ref="L32:N32"/>
    <mergeCell ref="L29:N29"/>
    <mergeCell ref="F36:H36"/>
    <mergeCell ref="I35:K35"/>
    <mergeCell ref="I36:K36"/>
    <mergeCell ref="F34:H34"/>
    <mergeCell ref="F35:H35"/>
    <mergeCell ref="L36:N36"/>
    <mergeCell ref="I32:K32"/>
    <mergeCell ref="F29:H29"/>
    <mergeCell ref="I29:K29"/>
    <mergeCell ref="I30:K30"/>
    <mergeCell ref="I31:K31"/>
    <mergeCell ref="F30:H30"/>
    <mergeCell ref="F31:H31"/>
    <mergeCell ref="L35:N35"/>
    <mergeCell ref="L30:N30"/>
    <mergeCell ref="L31:N31"/>
    <mergeCell ref="L34:N34"/>
    <mergeCell ref="L33:N33"/>
    <mergeCell ref="B33:E33"/>
    <mergeCell ref="O35:P35"/>
    <mergeCell ref="O36:P36"/>
    <mergeCell ref="O29:P29"/>
    <mergeCell ref="O30:P30"/>
    <mergeCell ref="O31:P31"/>
    <mergeCell ref="O32:P32"/>
    <mergeCell ref="O33:P33"/>
    <mergeCell ref="O34:P34"/>
    <mergeCell ref="I34:K34"/>
    <mergeCell ref="B28:E28"/>
    <mergeCell ref="L28:N28"/>
    <mergeCell ref="B23:D23"/>
    <mergeCell ref="L27:N27"/>
    <mergeCell ref="L23:M23"/>
    <mergeCell ref="I28:K28"/>
    <mergeCell ref="F28:H28"/>
    <mergeCell ref="B26:E27"/>
    <mergeCell ref="F26:N26"/>
    <mergeCell ref="F27:H27"/>
    <mergeCell ref="Y22:AA22"/>
    <mergeCell ref="Y23:AA23"/>
    <mergeCell ref="B35:E35"/>
    <mergeCell ref="B36:E36"/>
    <mergeCell ref="B34:E34"/>
    <mergeCell ref="B29:E29"/>
    <mergeCell ref="Y34:AA34"/>
    <mergeCell ref="B30:E30"/>
    <mergeCell ref="B31:E31"/>
    <mergeCell ref="B32:E32"/>
    <mergeCell ref="S22:U22"/>
    <mergeCell ref="S23:U23"/>
    <mergeCell ref="V22:X22"/>
    <mergeCell ref="V23:X23"/>
    <mergeCell ref="AI22:AK22"/>
    <mergeCell ref="AD19:AE19"/>
    <mergeCell ref="AD20:AE20"/>
    <mergeCell ref="AD21:AE21"/>
    <mergeCell ref="AD22:AE22"/>
    <mergeCell ref="AI19:AK19"/>
    <mergeCell ref="AI20:AK20"/>
    <mergeCell ref="AI21:AK21"/>
    <mergeCell ref="AF21:AH21"/>
    <mergeCell ref="AF22:AH22"/>
    <mergeCell ref="S21:U21"/>
    <mergeCell ref="S15:U15"/>
    <mergeCell ref="S16:U16"/>
    <mergeCell ref="S17:U17"/>
    <mergeCell ref="S18:U18"/>
    <mergeCell ref="Y21:AA21"/>
    <mergeCell ref="V15:X15"/>
    <mergeCell ref="V16:X16"/>
    <mergeCell ref="V21:X21"/>
    <mergeCell ref="Y15:AA15"/>
    <mergeCell ref="Y16:AA16"/>
    <mergeCell ref="Y17:AA17"/>
    <mergeCell ref="Y18:AA18"/>
    <mergeCell ref="V17:X17"/>
    <mergeCell ref="V18:X18"/>
    <mergeCell ref="N15:O15"/>
    <mergeCell ref="N16:O16"/>
    <mergeCell ref="N17:O17"/>
    <mergeCell ref="N18:O18"/>
    <mergeCell ref="E22:H22"/>
    <mergeCell ref="E23:H23"/>
    <mergeCell ref="I15:K15"/>
    <mergeCell ref="I16:K16"/>
    <mergeCell ref="I17:K17"/>
    <mergeCell ref="I18:K18"/>
    <mergeCell ref="I19:K19"/>
    <mergeCell ref="I20:K20"/>
    <mergeCell ref="I21:K21"/>
    <mergeCell ref="E15:H15"/>
    <mergeCell ref="E16:H16"/>
    <mergeCell ref="E17:H17"/>
    <mergeCell ref="E18:H18"/>
    <mergeCell ref="E20:H20"/>
    <mergeCell ref="E21:H21"/>
    <mergeCell ref="B19:D19"/>
    <mergeCell ref="B20:D20"/>
    <mergeCell ref="B21:D21"/>
    <mergeCell ref="E19:H19"/>
    <mergeCell ref="AD23:AE23"/>
    <mergeCell ref="P23:R23"/>
    <mergeCell ref="N23:O23"/>
    <mergeCell ref="AB15:AC15"/>
    <mergeCell ref="AB16:AC16"/>
    <mergeCell ref="AD18:AE18"/>
    <mergeCell ref="AB18:AC18"/>
    <mergeCell ref="P16:R16"/>
    <mergeCell ref="P17:R17"/>
    <mergeCell ref="P18:R18"/>
    <mergeCell ref="I27:K27"/>
    <mergeCell ref="AI23:AK23"/>
    <mergeCell ref="P19:R19"/>
    <mergeCell ref="P20:R20"/>
    <mergeCell ref="P21:R21"/>
    <mergeCell ref="P22:R22"/>
    <mergeCell ref="L19:M19"/>
    <mergeCell ref="L20:M20"/>
    <mergeCell ref="I22:K22"/>
    <mergeCell ref="I23:K23"/>
    <mergeCell ref="AF15:AH15"/>
    <mergeCell ref="AL14:AN14"/>
    <mergeCell ref="L15:M15"/>
    <mergeCell ref="AD17:AE17"/>
    <mergeCell ref="L16:M16"/>
    <mergeCell ref="L17:M17"/>
    <mergeCell ref="AB17:AC17"/>
    <mergeCell ref="AB12:AC14"/>
    <mergeCell ref="AD12:AE14"/>
    <mergeCell ref="AD15:AE15"/>
    <mergeCell ref="AD16:AE16"/>
    <mergeCell ref="W10:Y10"/>
    <mergeCell ref="P13:U13"/>
    <mergeCell ref="V13:AA13"/>
    <mergeCell ref="S14:U14"/>
    <mergeCell ref="V14:X14"/>
    <mergeCell ref="Y14:AA14"/>
    <mergeCell ref="P10:V10"/>
    <mergeCell ref="B11:AX11"/>
    <mergeCell ref="M10:O10"/>
    <mergeCell ref="AO14:AQ14"/>
    <mergeCell ref="B12:D14"/>
    <mergeCell ref="E12:H14"/>
    <mergeCell ref="I12:K14"/>
    <mergeCell ref="L12:M14"/>
    <mergeCell ref="N12:O14"/>
    <mergeCell ref="B22:D22"/>
    <mergeCell ref="B15:D15"/>
    <mergeCell ref="B16:D16"/>
    <mergeCell ref="B17:D17"/>
    <mergeCell ref="B18:D18"/>
    <mergeCell ref="L18:M18"/>
    <mergeCell ref="L21:M21"/>
    <mergeCell ref="L22:M22"/>
    <mergeCell ref="N19:O19"/>
    <mergeCell ref="N20:O20"/>
    <mergeCell ref="N21:O21"/>
    <mergeCell ref="N22:O22"/>
    <mergeCell ref="V19:X19"/>
    <mergeCell ref="V20:X20"/>
    <mergeCell ref="P14:R14"/>
    <mergeCell ref="P12:AA12"/>
    <mergeCell ref="P15:R15"/>
    <mergeCell ref="Y19:AA19"/>
    <mergeCell ref="Y20:AA20"/>
    <mergeCell ref="S19:U19"/>
    <mergeCell ref="S20:U20"/>
    <mergeCell ref="B5:E5"/>
    <mergeCell ref="B6:AX6"/>
    <mergeCell ref="B1:AX1"/>
    <mergeCell ref="B4:AX4"/>
    <mergeCell ref="B3:AX3"/>
    <mergeCell ref="F5:T5"/>
    <mergeCell ref="U5:AX5"/>
    <mergeCell ref="B2:E2"/>
    <mergeCell ref="F2:AX2"/>
    <mergeCell ref="AP10:AR10"/>
    <mergeCell ref="B7:AX7"/>
    <mergeCell ref="B8:AX8"/>
    <mergeCell ref="AP9:AR9"/>
    <mergeCell ref="AG9:AI9"/>
    <mergeCell ref="W9:Y9"/>
    <mergeCell ref="M9:O9"/>
    <mergeCell ref="B9:D9"/>
    <mergeCell ref="AJ9:AO9"/>
    <mergeCell ref="AG10:AI10"/>
    <mergeCell ref="AO25:AO36"/>
    <mergeCell ref="B10:D10"/>
    <mergeCell ref="AS10:AX10"/>
    <mergeCell ref="AS9:AW9"/>
    <mergeCell ref="Z9:AF9"/>
    <mergeCell ref="Z10:AF10"/>
    <mergeCell ref="P9:V9"/>
    <mergeCell ref="E9:L9"/>
    <mergeCell ref="E10:L10"/>
    <mergeCell ref="AJ10:AN10"/>
  </mergeCells>
  <conditionalFormatting sqref="AO16:AQ23 AI16:AK23">
    <cfRule type="expression" priority="1" dxfId="0" stopIfTrue="1">
      <formula>ABS(AL16)*1&lt;ABS(AI16)*1</formula>
    </cfRule>
    <cfRule type="cellIs" priority="2" dxfId="0" operator="notEqual" stopIfTrue="1">
      <formula>""</formula>
    </cfRule>
  </conditionalFormatting>
  <conditionalFormatting sqref="I16:K23">
    <cfRule type="expression" priority="3" dxfId="3" stopIfTrue="1">
      <formula>AND(I16="",OR(P16&lt;&gt;"",V16&lt;&gt;""))</formula>
    </cfRule>
  </conditionalFormatting>
  <conditionalFormatting sqref="N16:O23">
    <cfRule type="expression" priority="4" dxfId="3" stopIfTrue="1">
      <formula>S16="辺数を入力"</formula>
    </cfRule>
  </conditionalFormatting>
  <conditionalFormatting sqref="V16:X23 P16:R23">
    <cfRule type="expression" priority="5" dxfId="0" stopIfTrue="1">
      <formula>ABS(S16)*1&lt;ABS(P16)*1</formula>
    </cfRule>
    <cfRule type="expression" priority="6" dxfId="5" stopIfTrue="1">
      <formula>AND(P16="",S16&lt;&gt;"")</formula>
    </cfRule>
  </conditionalFormatting>
  <conditionalFormatting sqref="AU16:AX23">
    <cfRule type="expression" priority="7" dxfId="4" stopIfTrue="1">
      <formula>$BE$19=0</formula>
    </cfRule>
    <cfRule type="expression" priority="8" dxfId="1" stopIfTrue="1">
      <formula>S16=$BE$23</formula>
    </cfRule>
  </conditionalFormatting>
  <conditionalFormatting sqref="F5">
    <cfRule type="cellIs" priority="9" dxfId="4" operator="equal" stopIfTrue="1">
      <formula>$BC$13</formula>
    </cfRule>
  </conditionalFormatting>
  <conditionalFormatting sqref="T16:U16 S16:S23 Y16:Y23 Z16:AA16">
    <cfRule type="expression" priority="10" dxfId="4" stopIfTrue="1">
      <formula>OR(S16=$BE$20,S16=$BE$23,S16=$BE$22,S16=$BE$21)</formula>
    </cfRule>
  </conditionalFormatting>
  <conditionalFormatting sqref="AL29:AL36">
    <cfRule type="cellIs" priority="11" dxfId="4" operator="equal" stopIfTrue="1">
      <formula>"書式エラー"</formula>
    </cfRule>
  </conditionalFormatting>
  <dataValidations count="4">
    <dataValidation type="whole" allowBlank="1" showInputMessage="1" showErrorMessage="1" sqref="Q29:R36 V29:W36 AD29:AE36 AI29:AJ36">
      <formula1>0</formula1>
      <formula2>59</formula2>
    </dataValidation>
    <dataValidation type="whole" allowBlank="1" showInputMessage="1" showErrorMessage="1" sqref="O29:P36 T29:U36 AB29:AC36 AG29:AH36">
      <formula1>-360</formula1>
      <formula2>360</formula2>
    </dataValidation>
    <dataValidation type="list" allowBlank="1" showInputMessage="1" showErrorMessage="1" sqref="F5">
      <formula1>$BC$13:$BC$17</formula1>
    </dataValidation>
    <dataValidation type="list" allowBlank="1" showInputMessage="1" showErrorMessage="1" sqref="AU16:AX23">
      <formula1>IF($BE$19=0,$BE$18,$BC$20:$BC$23)</formula1>
    </dataValidation>
  </dataValidations>
  <hyperlinks>
    <hyperlink ref="B2:E2" location="業務情報!A1" tooltip="業務情報シートに移動" display="業務情報"/>
  </hyperlinks>
  <printOptions horizontalCentered="1"/>
  <pageMargins left="0.3937007874015748" right="0.3937007874015748" top="0.7874015748031497" bottom="0.1968503937007874" header="0.3937007874015748" footer="0.3937007874015748"/>
  <pageSetup blackAndWhite="1" fitToHeight="1" fitToWidth="1"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BI66"/>
  <sheetViews>
    <sheetView zoomScale="85" zoomScaleNormal="85" workbookViewId="0" topLeftCell="A13">
      <selection activeCell="S34" sqref="S34:V34"/>
    </sheetView>
  </sheetViews>
  <sheetFormatPr defaultColWidth="8.625" defaultRowHeight="13.5"/>
  <cols>
    <col min="1" max="1" width="5.00390625" style="0" customWidth="1"/>
    <col min="2" max="21" width="2.875" style="0" customWidth="1"/>
    <col min="22" max="24" width="2.875" style="7" customWidth="1"/>
    <col min="25" max="50" width="2.875" style="0" customWidth="1"/>
    <col min="51" max="51" width="12.25390625" style="0" customWidth="1"/>
    <col min="52" max="52" width="11.125" style="0" customWidth="1"/>
    <col min="53" max="55" width="12.50390625" style="0" customWidth="1"/>
    <col min="56" max="58" width="12.50390625" style="124" customWidth="1"/>
    <col min="59" max="59" width="10.00390625" style="124" customWidth="1"/>
    <col min="60" max="60" width="9.25390625" style="0" customWidth="1"/>
    <col min="61" max="61" width="11.75390625" style="0" customWidth="1"/>
    <col min="62" max="73" width="9.25390625" style="0" customWidth="1"/>
    <col min="74" max="16384" width="1.75390625" style="0" customWidth="1"/>
  </cols>
  <sheetData>
    <row r="1" spans="2:59" ht="21" customHeight="1"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BD1" s="10"/>
      <c r="BE1" s="10"/>
      <c r="BF1" s="10"/>
      <c r="BG1" s="10"/>
    </row>
    <row r="2" spans="2:59" ht="24" customHeight="1">
      <c r="B2" s="608" t="s">
        <v>169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608"/>
      <c r="AW2" s="608"/>
      <c r="AX2" s="608"/>
      <c r="BD2" s="10"/>
      <c r="BE2" s="10"/>
      <c r="BF2" s="10"/>
      <c r="BG2" s="10"/>
    </row>
    <row r="3" spans="2:59" ht="21" customHeight="1">
      <c r="B3" s="605" t="s">
        <v>44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BD3" s="10"/>
      <c r="BE3" s="10"/>
      <c r="BF3" s="10"/>
      <c r="BG3" s="10"/>
    </row>
    <row r="4" spans="2:59" ht="21" customHeight="1" thickBot="1"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BD4" s="10"/>
      <c r="BE4" s="10"/>
      <c r="BF4" s="10"/>
      <c r="BG4" s="10"/>
    </row>
    <row r="5" spans="2:59" ht="24" customHeight="1" thickBot="1">
      <c r="B5" s="602" t="s">
        <v>84</v>
      </c>
      <c r="C5" s="603"/>
      <c r="D5" s="603"/>
      <c r="E5" s="604"/>
      <c r="F5" s="472" t="s">
        <v>216</v>
      </c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4"/>
      <c r="U5" s="606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BD5" s="10"/>
      <c r="BE5" s="10"/>
      <c r="BF5" s="10"/>
      <c r="BG5" s="10"/>
    </row>
    <row r="6" spans="2:59" ht="21" customHeight="1"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BD6" s="10"/>
      <c r="BE6" s="10"/>
      <c r="BF6" s="10"/>
      <c r="BG6" s="10"/>
    </row>
    <row r="7" spans="2:59" ht="30" customHeight="1">
      <c r="B7" s="653" t="str">
        <f>IF(BI19&lt;&gt;0,F5&amp;" 精 度 管 理 表",F5)</f>
        <v>1 級 基 準 点 測 量 精 度 管 理 表</v>
      </c>
      <c r="C7" s="653"/>
      <c r="D7" s="653"/>
      <c r="E7" s="653"/>
      <c r="F7" s="653"/>
      <c r="G7" s="653"/>
      <c r="H7" s="653"/>
      <c r="I7" s="653"/>
      <c r="J7" s="653"/>
      <c r="K7" s="653"/>
      <c r="L7" s="653"/>
      <c r="M7" s="653"/>
      <c r="N7" s="653"/>
      <c r="O7" s="653"/>
      <c r="P7" s="653"/>
      <c r="Q7" s="653"/>
      <c r="R7" s="653"/>
      <c r="S7" s="653"/>
      <c r="T7" s="653"/>
      <c r="U7" s="653"/>
      <c r="V7" s="653"/>
      <c r="W7" s="653"/>
      <c r="X7" s="653"/>
      <c r="Y7" s="653"/>
      <c r="Z7" s="653"/>
      <c r="AA7" s="653"/>
      <c r="AB7" s="653"/>
      <c r="AC7" s="653"/>
      <c r="AD7" s="653"/>
      <c r="AE7" s="653"/>
      <c r="AF7" s="653"/>
      <c r="AG7" s="653"/>
      <c r="AH7" s="653"/>
      <c r="AI7" s="653"/>
      <c r="AJ7" s="653"/>
      <c r="AK7" s="653"/>
      <c r="AL7" s="653"/>
      <c r="AM7" s="653"/>
      <c r="AN7" s="653"/>
      <c r="AO7" s="653"/>
      <c r="AP7" s="653"/>
      <c r="AQ7" s="653"/>
      <c r="AR7" s="653"/>
      <c r="AS7" s="653"/>
      <c r="AT7" s="653"/>
      <c r="AU7" s="653"/>
      <c r="AV7" s="653"/>
      <c r="AW7" s="653"/>
      <c r="AX7" s="653"/>
      <c r="BD7" s="10"/>
      <c r="BE7" s="10"/>
      <c r="BF7" s="10"/>
      <c r="BG7" s="10"/>
    </row>
    <row r="8" spans="2:59" ht="18.75" customHeight="1">
      <c r="B8" s="461" t="s">
        <v>110</v>
      </c>
      <c r="C8" s="461"/>
      <c r="D8" s="461"/>
      <c r="E8" s="461"/>
      <c r="F8" s="461"/>
      <c r="G8" s="461"/>
      <c r="H8" s="461"/>
      <c r="I8" s="461"/>
      <c r="J8" s="461"/>
      <c r="K8" s="461"/>
      <c r="L8" s="461"/>
      <c r="M8" s="461"/>
      <c r="N8" s="461"/>
      <c r="O8" s="461"/>
      <c r="P8" s="461"/>
      <c r="Q8" s="461"/>
      <c r="R8" s="461"/>
      <c r="S8" s="461"/>
      <c r="T8" s="461"/>
      <c r="U8" s="461"/>
      <c r="V8" s="461"/>
      <c r="W8" s="461"/>
      <c r="X8" s="461"/>
      <c r="Y8" s="461"/>
      <c r="Z8" s="461"/>
      <c r="AA8" s="461"/>
      <c r="AB8" s="461"/>
      <c r="AC8" s="461"/>
      <c r="AD8" s="461"/>
      <c r="AE8" s="461"/>
      <c r="AF8" s="461"/>
      <c r="AG8" s="461"/>
      <c r="AH8" s="461"/>
      <c r="AI8" s="461"/>
      <c r="AJ8" s="461"/>
      <c r="AK8" s="461"/>
      <c r="AL8" s="461"/>
      <c r="AM8" s="461"/>
      <c r="AN8" s="461"/>
      <c r="AO8" s="461"/>
      <c r="AP8" s="461"/>
      <c r="AQ8" s="461"/>
      <c r="AR8" s="461"/>
      <c r="AS8" s="461"/>
      <c r="AT8" s="461"/>
      <c r="AU8" s="461"/>
      <c r="AV8" s="461"/>
      <c r="AW8" s="461"/>
      <c r="AX8" s="461"/>
      <c r="BD8" s="10"/>
      <c r="BE8" s="10"/>
      <c r="BF8" s="10"/>
      <c r="BG8" s="10"/>
    </row>
    <row r="9" spans="1:59" ht="30" customHeight="1">
      <c r="A9" s="4"/>
      <c r="B9" s="369" t="s">
        <v>45</v>
      </c>
      <c r="C9" s="370"/>
      <c r="D9" s="371"/>
      <c r="E9" s="657"/>
      <c r="F9" s="657"/>
      <c r="G9" s="657"/>
      <c r="H9" s="657"/>
      <c r="I9" s="657"/>
      <c r="J9" s="657"/>
      <c r="K9" s="657"/>
      <c r="L9" s="657"/>
      <c r="M9" s="369" t="s">
        <v>145</v>
      </c>
      <c r="N9" s="370"/>
      <c r="O9" s="371"/>
      <c r="P9" s="468"/>
      <c r="Q9" s="468"/>
      <c r="R9" s="468"/>
      <c r="S9" s="468"/>
      <c r="T9" s="468"/>
      <c r="U9" s="468"/>
      <c r="V9" s="468"/>
      <c r="W9" s="369" t="s">
        <v>126</v>
      </c>
      <c r="X9" s="370"/>
      <c r="Y9" s="371"/>
      <c r="Z9" s="656"/>
      <c r="AA9" s="656"/>
      <c r="AB9" s="656"/>
      <c r="AC9" s="656"/>
      <c r="AD9" s="656"/>
      <c r="AE9" s="656"/>
      <c r="AF9" s="656"/>
      <c r="AG9" s="369" t="s">
        <v>170</v>
      </c>
      <c r="AH9" s="370"/>
      <c r="AI9" s="371"/>
      <c r="AJ9" s="468"/>
      <c r="AK9" s="468"/>
      <c r="AL9" s="468"/>
      <c r="AM9" s="468"/>
      <c r="AN9" s="468"/>
      <c r="AO9" s="468"/>
      <c r="AP9" s="369" t="s">
        <v>48</v>
      </c>
      <c r="AQ9" s="370"/>
      <c r="AR9" s="371"/>
      <c r="AS9" s="656"/>
      <c r="AT9" s="656"/>
      <c r="AU9" s="656"/>
      <c r="AV9" s="656"/>
      <c r="AW9" s="656"/>
      <c r="AX9" s="138" t="s">
        <v>125</v>
      </c>
      <c r="BD9" s="10"/>
      <c r="BE9" s="10"/>
      <c r="BF9" s="10"/>
      <c r="BG9" s="10"/>
    </row>
    <row r="10" spans="1:59" ht="30" customHeight="1">
      <c r="A10" s="9"/>
      <c r="B10" s="321" t="s">
        <v>88</v>
      </c>
      <c r="C10" s="314"/>
      <c r="D10" s="319"/>
      <c r="E10" s="597"/>
      <c r="F10" s="597"/>
      <c r="G10" s="597"/>
      <c r="H10" s="597"/>
      <c r="I10" s="597"/>
      <c r="J10" s="597"/>
      <c r="K10" s="597"/>
      <c r="L10" s="597"/>
      <c r="M10" s="321" t="s">
        <v>146</v>
      </c>
      <c r="N10" s="314"/>
      <c r="O10" s="319"/>
      <c r="P10" s="328"/>
      <c r="Q10" s="328"/>
      <c r="R10" s="328"/>
      <c r="S10" s="328"/>
      <c r="T10" s="328"/>
      <c r="U10" s="328"/>
      <c r="V10" s="328"/>
      <c r="W10" s="321" t="s">
        <v>104</v>
      </c>
      <c r="X10" s="314"/>
      <c r="Y10" s="319"/>
      <c r="Z10" s="654"/>
      <c r="AA10" s="654"/>
      <c r="AB10" s="654"/>
      <c r="AC10" s="654"/>
      <c r="AD10" s="654"/>
      <c r="AE10" s="654"/>
      <c r="AF10" s="654"/>
      <c r="AG10" s="321" t="s">
        <v>51</v>
      </c>
      <c r="AH10" s="314"/>
      <c r="AI10" s="319"/>
      <c r="AJ10" s="545"/>
      <c r="AK10" s="545"/>
      <c r="AL10" s="545"/>
      <c r="AM10" s="545"/>
      <c r="AN10" s="545"/>
      <c r="AO10" s="137" t="s">
        <v>125</v>
      </c>
      <c r="AP10" s="321" t="s">
        <v>52</v>
      </c>
      <c r="AQ10" s="314"/>
      <c r="AR10" s="319"/>
      <c r="AS10" s="654"/>
      <c r="AT10" s="654"/>
      <c r="AU10" s="654"/>
      <c r="AV10" s="654"/>
      <c r="AW10" s="654"/>
      <c r="AX10" s="655"/>
      <c r="BD10" s="10"/>
      <c r="BE10" s="10"/>
      <c r="BF10" s="10"/>
      <c r="BG10" s="10"/>
    </row>
    <row r="11" spans="1:59" ht="12" customHeight="1">
      <c r="A11" s="9"/>
      <c r="B11" s="623"/>
      <c r="C11" s="623"/>
      <c r="D11" s="623"/>
      <c r="E11" s="623"/>
      <c r="F11" s="623"/>
      <c r="G11" s="623"/>
      <c r="H11" s="623"/>
      <c r="I11" s="623"/>
      <c r="J11" s="623"/>
      <c r="K11" s="623"/>
      <c r="L11" s="623"/>
      <c r="M11" s="623"/>
      <c r="N11" s="623"/>
      <c r="O11" s="623"/>
      <c r="P11" s="623"/>
      <c r="Q11" s="623"/>
      <c r="R11" s="623"/>
      <c r="S11" s="623"/>
      <c r="T11" s="623"/>
      <c r="U11" s="623"/>
      <c r="V11" s="623"/>
      <c r="W11" s="623"/>
      <c r="X11" s="623"/>
      <c r="Y11" s="623"/>
      <c r="Z11" s="623"/>
      <c r="AA11" s="623"/>
      <c r="AB11" s="623"/>
      <c r="AC11" s="623"/>
      <c r="AD11" s="623"/>
      <c r="AE11" s="623"/>
      <c r="AF11" s="623"/>
      <c r="AG11" s="623"/>
      <c r="AH11" s="623"/>
      <c r="AI11" s="623"/>
      <c r="AJ11" s="623"/>
      <c r="AK11" s="623"/>
      <c r="AL11" s="623"/>
      <c r="AM11" s="623"/>
      <c r="AN11" s="623"/>
      <c r="AO11" s="623"/>
      <c r="AP11" s="623"/>
      <c r="AQ11" s="623"/>
      <c r="AR11" s="623"/>
      <c r="AS11" s="623"/>
      <c r="AT11" s="623"/>
      <c r="AU11" s="623"/>
      <c r="AV11" s="623"/>
      <c r="AW11" s="623"/>
      <c r="AX11" s="623"/>
      <c r="BD11" s="10"/>
      <c r="BE11" s="10"/>
      <c r="BF11" s="10"/>
      <c r="BG11" s="10"/>
    </row>
    <row r="12" spans="1:59" s="9" customFormat="1" ht="18" customHeight="1">
      <c r="A12" s="4"/>
      <c r="B12" s="323" t="s">
        <v>149</v>
      </c>
      <c r="C12" s="317"/>
      <c r="D12" s="324"/>
      <c r="E12" s="323" t="s">
        <v>150</v>
      </c>
      <c r="F12" s="317"/>
      <c r="G12" s="317"/>
      <c r="H12" s="324"/>
      <c r="I12" s="315" t="s">
        <v>151</v>
      </c>
      <c r="J12" s="615"/>
      <c r="K12" s="616"/>
      <c r="L12" s="323" t="s">
        <v>152</v>
      </c>
      <c r="M12" s="324"/>
      <c r="N12" s="323" t="s">
        <v>153</v>
      </c>
      <c r="O12" s="324"/>
      <c r="P12" s="369" t="s">
        <v>154</v>
      </c>
      <c r="Q12" s="370"/>
      <c r="R12" s="370"/>
      <c r="S12" s="370"/>
      <c r="T12" s="370"/>
      <c r="U12" s="370"/>
      <c r="V12" s="370"/>
      <c r="W12" s="370"/>
      <c r="X12" s="370"/>
      <c r="Y12" s="370"/>
      <c r="Z12" s="370"/>
      <c r="AA12" s="371"/>
      <c r="AB12" s="323" t="s">
        <v>155</v>
      </c>
      <c r="AC12" s="324"/>
      <c r="AD12" s="323" t="s">
        <v>156</v>
      </c>
      <c r="AE12" s="324"/>
      <c r="AF12" s="369" t="s">
        <v>157</v>
      </c>
      <c r="AG12" s="370"/>
      <c r="AH12" s="370"/>
      <c r="AI12" s="370"/>
      <c r="AJ12" s="370"/>
      <c r="AK12" s="370"/>
      <c r="AL12" s="370"/>
      <c r="AM12" s="370"/>
      <c r="AN12" s="370"/>
      <c r="AO12" s="370"/>
      <c r="AP12" s="370"/>
      <c r="AQ12" s="370"/>
      <c r="AR12" s="370"/>
      <c r="AS12" s="370"/>
      <c r="AT12" s="371"/>
      <c r="AU12" s="386" t="s">
        <v>171</v>
      </c>
      <c r="AV12" s="387"/>
      <c r="AW12" s="387"/>
      <c r="AX12" s="388"/>
      <c r="AY12"/>
      <c r="AZ12"/>
      <c r="BA12"/>
      <c r="BB12"/>
      <c r="BC12"/>
      <c r="BD12" s="10"/>
      <c r="BE12" s="10"/>
      <c r="BF12" s="10"/>
      <c r="BG12" s="10"/>
    </row>
    <row r="13" spans="1:61" s="9" customFormat="1" ht="18" customHeight="1">
      <c r="A13" s="4"/>
      <c r="B13" s="322"/>
      <c r="C13" s="318"/>
      <c r="D13" s="320"/>
      <c r="E13" s="322"/>
      <c r="F13" s="318"/>
      <c r="G13" s="318"/>
      <c r="H13" s="320"/>
      <c r="I13" s="617"/>
      <c r="J13" s="618"/>
      <c r="K13" s="619"/>
      <c r="L13" s="322"/>
      <c r="M13" s="320"/>
      <c r="N13" s="322"/>
      <c r="O13" s="320"/>
      <c r="P13" s="369" t="s">
        <v>159</v>
      </c>
      <c r="Q13" s="370"/>
      <c r="R13" s="370"/>
      <c r="S13" s="370"/>
      <c r="T13" s="370"/>
      <c r="U13" s="371"/>
      <c r="V13" s="369" t="s">
        <v>62</v>
      </c>
      <c r="W13" s="370"/>
      <c r="X13" s="370"/>
      <c r="Y13" s="370"/>
      <c r="Z13" s="370"/>
      <c r="AA13" s="371"/>
      <c r="AB13" s="322"/>
      <c r="AC13" s="320"/>
      <c r="AD13" s="322"/>
      <c r="AE13" s="320"/>
      <c r="AF13" s="369" t="s">
        <v>172</v>
      </c>
      <c r="AG13" s="370"/>
      <c r="AH13" s="370"/>
      <c r="AI13" s="370"/>
      <c r="AJ13" s="370"/>
      <c r="AK13" s="370"/>
      <c r="AL13" s="370"/>
      <c r="AM13" s="370"/>
      <c r="AN13" s="370"/>
      <c r="AO13" s="370"/>
      <c r="AP13" s="370"/>
      <c r="AQ13" s="370"/>
      <c r="AR13" s="370"/>
      <c r="AS13" s="370"/>
      <c r="AT13" s="371"/>
      <c r="AU13" s="389"/>
      <c r="AV13" s="390"/>
      <c r="AW13" s="390"/>
      <c r="AX13" s="391"/>
      <c r="AY13"/>
      <c r="AZ13"/>
      <c r="BA13"/>
      <c r="BB13"/>
      <c r="BF13"/>
      <c r="BG13" s="125" t="s">
        <v>122</v>
      </c>
      <c r="BH13" s="92" t="s">
        <v>230</v>
      </c>
      <c r="BI13" s="93" t="s">
        <v>168</v>
      </c>
    </row>
    <row r="14" spans="1:61" ht="18" customHeight="1">
      <c r="A14" s="4"/>
      <c r="B14" s="321"/>
      <c r="C14" s="314"/>
      <c r="D14" s="319"/>
      <c r="E14" s="321"/>
      <c r="F14" s="314"/>
      <c r="G14" s="314"/>
      <c r="H14" s="319"/>
      <c r="I14" s="620"/>
      <c r="J14" s="621"/>
      <c r="K14" s="622"/>
      <c r="L14" s="321"/>
      <c r="M14" s="319"/>
      <c r="N14" s="321"/>
      <c r="O14" s="319"/>
      <c r="P14" s="369" t="s">
        <v>163</v>
      </c>
      <c r="Q14" s="370"/>
      <c r="R14" s="371"/>
      <c r="S14" s="369" t="s">
        <v>173</v>
      </c>
      <c r="T14" s="370"/>
      <c r="U14" s="371"/>
      <c r="V14" s="369" t="s">
        <v>163</v>
      </c>
      <c r="W14" s="370"/>
      <c r="X14" s="371"/>
      <c r="Y14" s="369" t="s">
        <v>173</v>
      </c>
      <c r="Z14" s="370"/>
      <c r="AA14" s="371"/>
      <c r="AB14" s="321"/>
      <c r="AC14" s="319"/>
      <c r="AD14" s="321"/>
      <c r="AE14" s="319"/>
      <c r="AF14" s="369" t="s">
        <v>164</v>
      </c>
      <c r="AG14" s="370"/>
      <c r="AH14" s="371"/>
      <c r="AI14" s="369" t="s">
        <v>165</v>
      </c>
      <c r="AJ14" s="370"/>
      <c r="AK14" s="371"/>
      <c r="AL14" s="369" t="s">
        <v>173</v>
      </c>
      <c r="AM14" s="370"/>
      <c r="AN14" s="371"/>
      <c r="AO14" s="369" t="s">
        <v>62</v>
      </c>
      <c r="AP14" s="370"/>
      <c r="AQ14" s="371"/>
      <c r="AR14" s="369" t="s">
        <v>173</v>
      </c>
      <c r="AS14" s="370"/>
      <c r="AT14" s="371"/>
      <c r="AU14" s="392"/>
      <c r="AV14" s="393"/>
      <c r="AW14" s="393"/>
      <c r="AX14" s="394"/>
      <c r="BF14"/>
      <c r="BG14" s="126" t="s">
        <v>216</v>
      </c>
      <c r="BH14" s="91">
        <v>10</v>
      </c>
      <c r="BI14" s="91">
        <v>12</v>
      </c>
    </row>
    <row r="15" spans="1:61" ht="16.5" customHeight="1">
      <c r="A15" s="4"/>
      <c r="B15" s="376">
        <v>1</v>
      </c>
      <c r="C15" s="377"/>
      <c r="D15" s="378"/>
      <c r="E15" s="376" t="s">
        <v>270</v>
      </c>
      <c r="F15" s="377"/>
      <c r="G15" s="377"/>
      <c r="H15" s="378"/>
      <c r="I15" s="383">
        <v>1</v>
      </c>
      <c r="J15" s="384"/>
      <c r="K15" s="385"/>
      <c r="L15" s="376">
        <v>3</v>
      </c>
      <c r="M15" s="378"/>
      <c r="N15" s="376">
        <v>2</v>
      </c>
      <c r="O15" s="378"/>
      <c r="P15" s="643">
        <v>0.007</v>
      </c>
      <c r="Q15" s="644"/>
      <c r="R15" s="645"/>
      <c r="S15" s="492" t="str">
        <f aca="true" t="shared" si="0" ref="S15:S23">IF(BI28=5,"",IF(BI28&lt;&gt;0,INDEX($BI$20:$BI$23,BI28,1),IF(BI28=0,ROUND(INDEX($BF$27:$BF$30,$BI$19,1)+INDEX($BG$27:$BG$30,$BI$19,1)*I15*(N15^0.5),3),ROUND(INDEX($BF$33:$BF$36,$BI$19,1)*I15*(N15^0.5),3))))</f>
        <v>摘要を選択</v>
      </c>
      <c r="T15" s="493"/>
      <c r="U15" s="494"/>
      <c r="V15" s="643">
        <v>0.01</v>
      </c>
      <c r="W15" s="644"/>
      <c r="X15" s="645"/>
      <c r="Y15" s="492" t="str">
        <f aca="true" t="shared" si="1" ref="Y15:Y23">IF(BI28=5,"",IF(BI28&lt;&gt;0,INDEX($BI$20:$BI$23,BI28,1),IF(BI28=0,IF(OR(BF15=1,BF15=2),ROUND(INDEX($BF$27:$BF$30,$BI$19,1)+INDEX($BG$27:$BG$30,$BI$19,1)*I15*(N15^0.5),3),ROUND(INDEX($BF$33:$BF$36,$BI$19,1)*I15*(N15^0.5),3)))))</f>
        <v>摘要を選択</v>
      </c>
      <c r="Z15" s="493"/>
      <c r="AA15" s="494"/>
      <c r="AB15" s="383"/>
      <c r="AC15" s="385"/>
      <c r="AD15" s="376"/>
      <c r="AE15" s="378"/>
      <c r="AF15" s="376">
        <v>1</v>
      </c>
      <c r="AG15" s="377"/>
      <c r="AH15" s="378"/>
      <c r="AI15" s="643">
        <v>0.05</v>
      </c>
      <c r="AJ15" s="644"/>
      <c r="AK15" s="645"/>
      <c r="AL15" s="492">
        <f>IF($AI15="","",0.1)</f>
        <v>0.1</v>
      </c>
      <c r="AM15" s="493"/>
      <c r="AN15" s="494"/>
      <c r="AO15" s="643">
        <v>0.15</v>
      </c>
      <c r="AP15" s="644"/>
      <c r="AQ15" s="645"/>
      <c r="AR15" s="492">
        <f>IF($AO15="","",0.2)</f>
        <v>0.2</v>
      </c>
      <c r="AS15" s="493"/>
      <c r="AT15" s="494"/>
      <c r="AU15" s="376"/>
      <c r="AV15" s="377"/>
      <c r="AW15" s="377"/>
      <c r="AX15" s="378"/>
      <c r="BA15" s="151">
        <f>IF(LEFT(O28,1)="-",SUBSTITUTE(O28,"-","")/10000*(-1),SUBSTITUTE(O28,"-","")/10000)</f>
        <v>11.111</v>
      </c>
      <c r="BB15" s="98">
        <f>IF(LEFT(S28,1)="-",SUBSTITUTE(S28,"-","")/10000*(-1),SUBSTITUTE(S28,"-","")/10000)</f>
        <v>10.101</v>
      </c>
      <c r="BC15" s="36">
        <f aca="true" t="shared" si="2" ref="BC15:BC23">SIGN(BA15)*(TRUNC(ABS(BA15))+(TRUNC((ABS(BA15)*100-TRUNC(ABS(BA15))*100)+0.01)/60)+((ABS(BA15)*10000-TRUNC(ABS(BA15)*100)*100)/60/60))-IF(ABS(BA15)&gt;180,360,0)</f>
        <v>11.186111111111112</v>
      </c>
      <c r="BD15" s="98">
        <f aca="true" t="shared" si="3" ref="BD15:BD23">SIGN(BB15)*(TRUNC(ABS(BB15))+(TRUNC((ABS(BB15)*100-TRUNC(ABS(BB15))*100)+0.01)/60)+((ABS(BB15)*10000-TRUNC(ABS(BB15)*100)*100)/60/60))-IF(ABS(BB15)&gt;180,360,0)</f>
        <v>10.169444444444448</v>
      </c>
      <c r="BE15" s="98">
        <f>(BD15-BC15)*3600</f>
        <v>-3659.99999999999</v>
      </c>
      <c r="BF15" s="127">
        <f aca="true" t="shared" si="4" ref="BF15:BF23">IF(AU15=$BG$20,0,IF(AU15=$BG$21,1,IF(AU15=$BG$22,2,3)))</f>
        <v>0</v>
      </c>
      <c r="BG15" s="144" t="s">
        <v>217</v>
      </c>
      <c r="BH15" s="92">
        <v>12</v>
      </c>
      <c r="BI15" s="156">
        <v>15</v>
      </c>
    </row>
    <row r="16" spans="1:61" ht="16.5" customHeight="1">
      <c r="A16" s="4"/>
      <c r="B16" s="372">
        <v>2</v>
      </c>
      <c r="C16" s="373"/>
      <c r="D16" s="349"/>
      <c r="E16" s="372" t="s">
        <v>271</v>
      </c>
      <c r="F16" s="373"/>
      <c r="G16" s="373"/>
      <c r="H16" s="349"/>
      <c r="I16" s="379">
        <v>0.6</v>
      </c>
      <c r="J16" s="332"/>
      <c r="K16" s="330"/>
      <c r="L16" s="372">
        <v>3</v>
      </c>
      <c r="M16" s="349"/>
      <c r="N16" s="372">
        <v>2</v>
      </c>
      <c r="O16" s="349"/>
      <c r="P16" s="609">
        <v>0.008</v>
      </c>
      <c r="Q16" s="610"/>
      <c r="R16" s="611"/>
      <c r="S16" s="514">
        <f t="shared" si="0"/>
        <v>0.117</v>
      </c>
      <c r="T16" s="515"/>
      <c r="U16" s="516"/>
      <c r="V16" s="609">
        <v>0.011</v>
      </c>
      <c r="W16" s="610"/>
      <c r="X16" s="611"/>
      <c r="Y16" s="514">
        <f t="shared" si="1"/>
        <v>0.117</v>
      </c>
      <c r="Z16" s="515"/>
      <c r="AA16" s="516"/>
      <c r="AB16" s="379"/>
      <c r="AC16" s="330"/>
      <c r="AD16" s="372"/>
      <c r="AE16" s="349"/>
      <c r="AF16" s="372">
        <v>2</v>
      </c>
      <c r="AG16" s="373"/>
      <c r="AH16" s="349"/>
      <c r="AI16" s="609">
        <v>0.06</v>
      </c>
      <c r="AJ16" s="610"/>
      <c r="AK16" s="611"/>
      <c r="AL16" s="514">
        <f aca="true" t="shared" si="5" ref="AL16:AL23">IF($AI16="","",0.1)</f>
        <v>0.1</v>
      </c>
      <c r="AM16" s="515"/>
      <c r="AN16" s="516"/>
      <c r="AO16" s="609">
        <v>0.2</v>
      </c>
      <c r="AP16" s="610"/>
      <c r="AQ16" s="611"/>
      <c r="AR16" s="514">
        <f aca="true" t="shared" si="6" ref="AR16:AR23">IF($AO16="","",0.2)</f>
        <v>0.2</v>
      </c>
      <c r="AS16" s="515"/>
      <c r="AT16" s="516"/>
      <c r="AU16" s="372" t="s">
        <v>221</v>
      </c>
      <c r="AV16" s="373"/>
      <c r="AW16" s="373"/>
      <c r="AX16" s="349"/>
      <c r="BA16" s="122">
        <f>IF(LEFT(O29,1)="-",SUBSTITUTE(O29,"-","")/10000*(-1),SUBSTITUTE(O29,"-","")/10000)</f>
        <v>-20.212</v>
      </c>
      <c r="BB16" s="99">
        <f aca="true" t="shared" si="7" ref="BB16:BB23">IF(LEFT(S29,1)="-",SUBSTITUTE(S29,"-","")/10000*(-1),SUBSTITUTE(S29,"-","")/10000)</f>
        <v>-20.202</v>
      </c>
      <c r="BC16" s="1">
        <f t="shared" si="2"/>
        <v>-20.355555555555558</v>
      </c>
      <c r="BD16" s="99">
        <f t="shared" si="3"/>
        <v>-20.338888888888896</v>
      </c>
      <c r="BE16" s="99">
        <f aca="true" t="shared" si="8" ref="BE16:BE23">(BD16-BC16)*3600</f>
        <v>59.9999999999838</v>
      </c>
      <c r="BF16" s="108">
        <f t="shared" si="4"/>
        <v>1</v>
      </c>
      <c r="BG16" s="144" t="s">
        <v>218</v>
      </c>
      <c r="BH16" s="92">
        <v>15</v>
      </c>
      <c r="BI16" s="156">
        <v>20</v>
      </c>
    </row>
    <row r="17" spans="1:61" ht="16.5" customHeight="1">
      <c r="A17" s="4"/>
      <c r="B17" s="372">
        <v>3</v>
      </c>
      <c r="C17" s="373"/>
      <c r="D17" s="349"/>
      <c r="E17" s="372" t="s">
        <v>272</v>
      </c>
      <c r="F17" s="373"/>
      <c r="G17" s="373"/>
      <c r="H17" s="349"/>
      <c r="I17" s="379">
        <v>0.7</v>
      </c>
      <c r="J17" s="332"/>
      <c r="K17" s="330"/>
      <c r="L17" s="372">
        <v>4</v>
      </c>
      <c r="M17" s="349"/>
      <c r="N17" s="372">
        <v>3</v>
      </c>
      <c r="O17" s="349"/>
      <c r="P17" s="609">
        <v>0.009</v>
      </c>
      <c r="Q17" s="610"/>
      <c r="R17" s="611"/>
      <c r="S17" s="514">
        <f t="shared" si="0"/>
        <v>0.124</v>
      </c>
      <c r="T17" s="515"/>
      <c r="U17" s="516"/>
      <c r="V17" s="609">
        <v>0.012</v>
      </c>
      <c r="W17" s="610"/>
      <c r="X17" s="611"/>
      <c r="Y17" s="514">
        <f t="shared" si="1"/>
        <v>0.012</v>
      </c>
      <c r="Z17" s="515"/>
      <c r="AA17" s="516"/>
      <c r="AB17" s="379"/>
      <c r="AC17" s="330"/>
      <c r="AD17" s="372"/>
      <c r="AE17" s="349"/>
      <c r="AF17" s="372">
        <v>3</v>
      </c>
      <c r="AG17" s="373"/>
      <c r="AH17" s="349"/>
      <c r="AI17" s="609">
        <v>0.07</v>
      </c>
      <c r="AJ17" s="610"/>
      <c r="AK17" s="611"/>
      <c r="AL17" s="514">
        <f t="shared" si="5"/>
        <v>0.1</v>
      </c>
      <c r="AM17" s="515"/>
      <c r="AN17" s="516"/>
      <c r="AO17" s="609">
        <v>0.2</v>
      </c>
      <c r="AP17" s="610"/>
      <c r="AQ17" s="611"/>
      <c r="AR17" s="514">
        <f t="shared" si="6"/>
        <v>0.2</v>
      </c>
      <c r="AS17" s="515"/>
      <c r="AT17" s="516"/>
      <c r="AU17" s="372" t="s">
        <v>168</v>
      </c>
      <c r="AV17" s="373"/>
      <c r="AW17" s="373"/>
      <c r="AX17" s="349"/>
      <c r="BA17" s="122">
        <f>IF(LEFT(O30,1)="-",SUBSTITUTE(O30,"-","")/10000*(-1),SUBSTITUTE(O30,"-","")/10000)</f>
        <v>30.303</v>
      </c>
      <c r="BB17" s="99">
        <f t="shared" si="7"/>
        <v>30.3003</v>
      </c>
      <c r="BC17" s="1">
        <f t="shared" si="2"/>
        <v>30.508333333333333</v>
      </c>
      <c r="BD17" s="99">
        <f t="shared" si="3"/>
        <v>30.500833333333333</v>
      </c>
      <c r="BE17" s="99">
        <f t="shared" si="8"/>
        <v>-27.000000000001023</v>
      </c>
      <c r="BF17" s="108">
        <f t="shared" si="4"/>
        <v>3</v>
      </c>
      <c r="BG17" s="145" t="s">
        <v>219</v>
      </c>
      <c r="BH17" s="93">
        <v>20</v>
      </c>
      <c r="BI17" s="157">
        <v>30</v>
      </c>
    </row>
    <row r="18" spans="1:61" ht="16.5" customHeight="1">
      <c r="A18" s="4"/>
      <c r="B18" s="372">
        <v>4</v>
      </c>
      <c r="C18" s="373"/>
      <c r="D18" s="349"/>
      <c r="E18" s="372" t="s">
        <v>273</v>
      </c>
      <c r="F18" s="373"/>
      <c r="G18" s="373"/>
      <c r="H18" s="349"/>
      <c r="I18" s="379">
        <v>0.8</v>
      </c>
      <c r="J18" s="332"/>
      <c r="K18" s="330"/>
      <c r="L18" s="372">
        <v>4</v>
      </c>
      <c r="M18" s="349"/>
      <c r="N18" s="372">
        <v>3</v>
      </c>
      <c r="O18" s="349"/>
      <c r="P18" s="609">
        <v>0.02</v>
      </c>
      <c r="Q18" s="610"/>
      <c r="R18" s="611"/>
      <c r="S18" s="514">
        <f t="shared" si="0"/>
        <v>0.128</v>
      </c>
      <c r="T18" s="515"/>
      <c r="U18" s="516"/>
      <c r="V18" s="609">
        <v>0.014</v>
      </c>
      <c r="W18" s="610"/>
      <c r="X18" s="611"/>
      <c r="Y18" s="514">
        <f t="shared" si="1"/>
        <v>0.014</v>
      </c>
      <c r="Z18" s="515"/>
      <c r="AA18" s="516"/>
      <c r="AB18" s="379"/>
      <c r="AC18" s="330"/>
      <c r="AD18" s="372"/>
      <c r="AE18" s="349"/>
      <c r="AF18" s="372">
        <v>4</v>
      </c>
      <c r="AG18" s="373"/>
      <c r="AH18" s="349"/>
      <c r="AI18" s="609">
        <v>0.08</v>
      </c>
      <c r="AJ18" s="610"/>
      <c r="AK18" s="611"/>
      <c r="AL18" s="514">
        <f t="shared" si="5"/>
        <v>0.1</v>
      </c>
      <c r="AM18" s="515"/>
      <c r="AN18" s="516"/>
      <c r="AO18" s="609">
        <v>0.25</v>
      </c>
      <c r="AP18" s="610"/>
      <c r="AQ18" s="611"/>
      <c r="AR18" s="514">
        <f t="shared" si="6"/>
        <v>0.2</v>
      </c>
      <c r="AS18" s="515"/>
      <c r="AT18" s="516"/>
      <c r="AU18" s="372" t="s">
        <v>168</v>
      </c>
      <c r="AV18" s="373"/>
      <c r="AW18" s="373"/>
      <c r="AX18" s="349"/>
      <c r="BA18" s="122">
        <f aca="true" t="shared" si="9" ref="BA18:BA23">IF(LEFT(O31,1)="-",SUBSTITUTE(O31,"-","")/10000*(-1),SUBSTITUTE(O31,"-","")/10000)</f>
        <v>-40.414</v>
      </c>
      <c r="BB18" s="99">
        <f t="shared" si="7"/>
        <v>-40.4004</v>
      </c>
      <c r="BC18" s="1">
        <f t="shared" si="2"/>
        <v>-40.69444444444444</v>
      </c>
      <c r="BD18" s="99">
        <f t="shared" si="3"/>
        <v>-40.66777777777777</v>
      </c>
      <c r="BE18" s="99">
        <f t="shared" si="8"/>
        <v>96.000000000015</v>
      </c>
      <c r="BF18" s="108">
        <f t="shared" si="4"/>
        <v>3</v>
      </c>
      <c r="BH18" s="133"/>
      <c r="BI18" s="158"/>
    </row>
    <row r="19" spans="1:61" ht="16.5" customHeight="1">
      <c r="A19" s="4"/>
      <c r="B19" s="372">
        <v>5</v>
      </c>
      <c r="C19" s="373"/>
      <c r="D19" s="349"/>
      <c r="E19" s="372" t="s">
        <v>274</v>
      </c>
      <c r="F19" s="373"/>
      <c r="G19" s="373"/>
      <c r="H19" s="349"/>
      <c r="I19" s="379">
        <v>1</v>
      </c>
      <c r="J19" s="332"/>
      <c r="K19" s="330"/>
      <c r="L19" s="372">
        <v>5</v>
      </c>
      <c r="M19" s="349"/>
      <c r="N19" s="372">
        <v>2</v>
      </c>
      <c r="O19" s="349"/>
      <c r="P19" s="609">
        <v>0.2</v>
      </c>
      <c r="Q19" s="610"/>
      <c r="R19" s="611"/>
      <c r="S19" s="514">
        <f t="shared" si="0"/>
        <v>0.128</v>
      </c>
      <c r="T19" s="515"/>
      <c r="U19" s="516"/>
      <c r="V19" s="609">
        <v>0.02</v>
      </c>
      <c r="W19" s="610"/>
      <c r="X19" s="611"/>
      <c r="Y19" s="514">
        <f t="shared" si="1"/>
        <v>0.128</v>
      </c>
      <c r="Z19" s="515"/>
      <c r="AA19" s="516"/>
      <c r="AB19" s="379"/>
      <c r="AC19" s="330"/>
      <c r="AD19" s="372"/>
      <c r="AE19" s="349"/>
      <c r="AF19" s="372">
        <v>5</v>
      </c>
      <c r="AG19" s="373"/>
      <c r="AH19" s="349"/>
      <c r="AI19" s="609">
        <v>0.1</v>
      </c>
      <c r="AJ19" s="610"/>
      <c r="AK19" s="611"/>
      <c r="AL19" s="514">
        <f t="shared" si="5"/>
        <v>0.1</v>
      </c>
      <c r="AM19" s="515"/>
      <c r="AN19" s="516"/>
      <c r="AO19" s="609">
        <v>0.3</v>
      </c>
      <c r="AP19" s="610"/>
      <c r="AQ19" s="611"/>
      <c r="AR19" s="514">
        <f t="shared" si="6"/>
        <v>0.2</v>
      </c>
      <c r="AS19" s="515"/>
      <c r="AT19" s="516"/>
      <c r="AU19" s="372" t="s">
        <v>221</v>
      </c>
      <c r="AV19" s="373"/>
      <c r="AW19" s="373"/>
      <c r="AX19" s="349"/>
      <c r="BA19" s="122">
        <f t="shared" si="9"/>
        <v>50.505</v>
      </c>
      <c r="BB19" s="99">
        <f t="shared" si="7"/>
        <v>50.5005</v>
      </c>
      <c r="BC19" s="1">
        <f t="shared" si="2"/>
        <v>50.84722222222222</v>
      </c>
      <c r="BD19" s="99">
        <f t="shared" si="3"/>
        <v>50.834722222222226</v>
      </c>
      <c r="BE19" s="99">
        <f t="shared" si="8"/>
        <v>-44.99999999998465</v>
      </c>
      <c r="BF19" s="108">
        <f t="shared" si="4"/>
        <v>1</v>
      </c>
      <c r="BG19" s="1"/>
      <c r="BI19" s="76">
        <f>IF(F5=BG13,0,IF(F5=BG14,1,IF(F5=BG15,2,IF(F5=BG16,3,IF(F5=BG17,4,"")))))</f>
        <v>1</v>
      </c>
    </row>
    <row r="20" spans="1:61" ht="16.5" customHeight="1">
      <c r="A20" s="4"/>
      <c r="B20" s="372"/>
      <c r="C20" s="373"/>
      <c r="D20" s="349"/>
      <c r="E20" s="372"/>
      <c r="F20" s="373"/>
      <c r="G20" s="373"/>
      <c r="H20" s="349"/>
      <c r="I20" s="379"/>
      <c r="J20" s="332"/>
      <c r="K20" s="330"/>
      <c r="L20" s="372"/>
      <c r="M20" s="349"/>
      <c r="N20" s="372"/>
      <c r="O20" s="349"/>
      <c r="P20" s="609"/>
      <c r="Q20" s="610"/>
      <c r="R20" s="611"/>
      <c r="S20" s="514">
        <f t="shared" si="0"/>
      </c>
      <c r="T20" s="515"/>
      <c r="U20" s="516"/>
      <c r="V20" s="609"/>
      <c r="W20" s="610"/>
      <c r="X20" s="611"/>
      <c r="Y20" s="514">
        <f t="shared" si="1"/>
      </c>
      <c r="Z20" s="515"/>
      <c r="AA20" s="516"/>
      <c r="AB20" s="379"/>
      <c r="AC20" s="330"/>
      <c r="AD20" s="372"/>
      <c r="AE20" s="349"/>
      <c r="AF20" s="372"/>
      <c r="AG20" s="373"/>
      <c r="AH20" s="349"/>
      <c r="AI20" s="609"/>
      <c r="AJ20" s="610"/>
      <c r="AK20" s="611"/>
      <c r="AL20" s="514">
        <f t="shared" si="5"/>
      </c>
      <c r="AM20" s="515"/>
      <c r="AN20" s="516"/>
      <c r="AO20" s="609"/>
      <c r="AP20" s="610"/>
      <c r="AQ20" s="611"/>
      <c r="AR20" s="514">
        <f t="shared" si="6"/>
      </c>
      <c r="AS20" s="515"/>
      <c r="AT20" s="516"/>
      <c r="AU20" s="372"/>
      <c r="AV20" s="373"/>
      <c r="AW20" s="373"/>
      <c r="AX20" s="349"/>
      <c r="BA20" s="122">
        <f t="shared" si="9"/>
        <v>6.0606</v>
      </c>
      <c r="BB20" s="99">
        <f t="shared" si="7"/>
        <v>6.06</v>
      </c>
      <c r="BC20" s="1">
        <f t="shared" si="2"/>
        <v>6.101666666666667</v>
      </c>
      <c r="BD20" s="99">
        <f t="shared" si="3"/>
        <v>6.099999999999998</v>
      </c>
      <c r="BE20" s="99">
        <f t="shared" si="8"/>
        <v>-6.000000000007333</v>
      </c>
      <c r="BF20" s="108">
        <f t="shared" si="4"/>
        <v>0</v>
      </c>
      <c r="BG20" s="146"/>
      <c r="BI20" s="101" t="s">
        <v>275</v>
      </c>
    </row>
    <row r="21" spans="1:61" ht="16.5" customHeight="1">
      <c r="A21" s="4"/>
      <c r="B21" s="372"/>
      <c r="C21" s="373"/>
      <c r="D21" s="349"/>
      <c r="E21" s="372"/>
      <c r="F21" s="373"/>
      <c r="G21" s="373"/>
      <c r="H21" s="349"/>
      <c r="I21" s="379"/>
      <c r="J21" s="332"/>
      <c r="K21" s="330"/>
      <c r="L21" s="372"/>
      <c r="M21" s="349"/>
      <c r="N21" s="372"/>
      <c r="O21" s="349"/>
      <c r="P21" s="609"/>
      <c r="Q21" s="610"/>
      <c r="R21" s="611"/>
      <c r="S21" s="514">
        <f t="shared" si="0"/>
      </c>
      <c r="T21" s="515"/>
      <c r="U21" s="516"/>
      <c r="V21" s="609"/>
      <c r="W21" s="610"/>
      <c r="X21" s="611"/>
      <c r="Y21" s="514">
        <f t="shared" si="1"/>
      </c>
      <c r="Z21" s="515"/>
      <c r="AA21" s="516"/>
      <c r="AB21" s="379"/>
      <c r="AC21" s="330"/>
      <c r="AD21" s="372"/>
      <c r="AE21" s="349"/>
      <c r="AF21" s="372"/>
      <c r="AG21" s="373"/>
      <c r="AH21" s="349"/>
      <c r="AI21" s="609"/>
      <c r="AJ21" s="610"/>
      <c r="AK21" s="611"/>
      <c r="AL21" s="514">
        <f t="shared" si="5"/>
      </c>
      <c r="AM21" s="515"/>
      <c r="AN21" s="516"/>
      <c r="AO21" s="609"/>
      <c r="AP21" s="610"/>
      <c r="AQ21" s="611"/>
      <c r="AR21" s="514">
        <f t="shared" si="6"/>
      </c>
      <c r="AS21" s="515"/>
      <c r="AT21" s="516"/>
      <c r="AU21" s="372"/>
      <c r="AV21" s="373"/>
      <c r="AW21" s="373"/>
      <c r="AX21" s="349"/>
      <c r="BA21" s="122">
        <f t="shared" si="9"/>
        <v>7.0107</v>
      </c>
      <c r="BB21" s="99">
        <f t="shared" si="7"/>
        <v>6.59</v>
      </c>
      <c r="BC21" s="1">
        <f t="shared" si="2"/>
        <v>7.018611111111111</v>
      </c>
      <c r="BD21" s="99">
        <f t="shared" si="3"/>
        <v>6.983333333333333</v>
      </c>
      <c r="BE21" s="99">
        <f t="shared" si="8"/>
        <v>-127.00000000000067</v>
      </c>
      <c r="BF21" s="108">
        <f t="shared" si="4"/>
        <v>0</v>
      </c>
      <c r="BG21" s="147" t="s">
        <v>221</v>
      </c>
      <c r="BI21" s="103" t="s">
        <v>276</v>
      </c>
    </row>
    <row r="22" spans="1:61" ht="16.5" customHeight="1">
      <c r="A22" s="4"/>
      <c r="B22" s="372"/>
      <c r="C22" s="373"/>
      <c r="D22" s="349"/>
      <c r="E22" s="372"/>
      <c r="F22" s="373"/>
      <c r="G22" s="373"/>
      <c r="H22" s="349"/>
      <c r="I22" s="379"/>
      <c r="J22" s="332"/>
      <c r="K22" s="330"/>
      <c r="L22" s="372"/>
      <c r="M22" s="349"/>
      <c r="N22" s="372"/>
      <c r="O22" s="349"/>
      <c r="P22" s="609"/>
      <c r="Q22" s="610"/>
      <c r="R22" s="611"/>
      <c r="S22" s="514">
        <f t="shared" si="0"/>
      </c>
      <c r="T22" s="515"/>
      <c r="U22" s="516"/>
      <c r="V22" s="609"/>
      <c r="W22" s="610"/>
      <c r="X22" s="611"/>
      <c r="Y22" s="514">
        <f t="shared" si="1"/>
      </c>
      <c r="Z22" s="515"/>
      <c r="AA22" s="516"/>
      <c r="AB22" s="379"/>
      <c r="AC22" s="330"/>
      <c r="AD22" s="372"/>
      <c r="AE22" s="349"/>
      <c r="AF22" s="372"/>
      <c r="AG22" s="373"/>
      <c r="AH22" s="349"/>
      <c r="AI22" s="609"/>
      <c r="AJ22" s="610"/>
      <c r="AK22" s="611"/>
      <c r="AL22" s="514">
        <f t="shared" si="5"/>
      </c>
      <c r="AM22" s="515"/>
      <c r="AN22" s="516"/>
      <c r="AO22" s="609"/>
      <c r="AP22" s="610"/>
      <c r="AQ22" s="611"/>
      <c r="AR22" s="514">
        <f t="shared" si="6"/>
      </c>
      <c r="AS22" s="515"/>
      <c r="AT22" s="516"/>
      <c r="AU22" s="372"/>
      <c r="AV22" s="373"/>
      <c r="AW22" s="373"/>
      <c r="AX22" s="349"/>
      <c r="BA22" s="122">
        <f t="shared" si="9"/>
        <v>8.0808</v>
      </c>
      <c r="BB22" s="99">
        <f t="shared" si="7"/>
        <v>8.08</v>
      </c>
      <c r="BC22" s="1">
        <f t="shared" si="2"/>
        <v>8.135555555555555</v>
      </c>
      <c r="BD22" s="99">
        <f t="shared" si="3"/>
        <v>8.133333333333333</v>
      </c>
      <c r="BE22" s="99">
        <f t="shared" si="8"/>
        <v>-8.00000000000125</v>
      </c>
      <c r="BF22" s="108">
        <f t="shared" si="4"/>
        <v>0</v>
      </c>
      <c r="BG22" s="147" t="s">
        <v>231</v>
      </c>
      <c r="BH22" s="124"/>
      <c r="BI22" s="103" t="s">
        <v>277</v>
      </c>
    </row>
    <row r="23" spans="1:61" ht="16.5" customHeight="1">
      <c r="A23" s="4"/>
      <c r="B23" s="331"/>
      <c r="C23" s="328"/>
      <c r="D23" s="329"/>
      <c r="E23" s="331"/>
      <c r="F23" s="328"/>
      <c r="G23" s="328"/>
      <c r="H23" s="329"/>
      <c r="I23" s="412"/>
      <c r="J23" s="413"/>
      <c r="K23" s="414"/>
      <c r="L23" s="331"/>
      <c r="M23" s="329"/>
      <c r="N23" s="331"/>
      <c r="O23" s="329"/>
      <c r="P23" s="624"/>
      <c r="Q23" s="625"/>
      <c r="R23" s="626"/>
      <c r="S23" s="637">
        <f t="shared" si="0"/>
      </c>
      <c r="T23" s="638"/>
      <c r="U23" s="639"/>
      <c r="V23" s="624"/>
      <c r="W23" s="625"/>
      <c r="X23" s="626"/>
      <c r="Y23" s="637">
        <f t="shared" si="1"/>
      </c>
      <c r="Z23" s="638"/>
      <c r="AA23" s="639"/>
      <c r="AB23" s="412"/>
      <c r="AC23" s="414"/>
      <c r="AD23" s="331"/>
      <c r="AE23" s="329"/>
      <c r="AF23" s="331"/>
      <c r="AG23" s="328"/>
      <c r="AH23" s="329"/>
      <c r="AI23" s="624"/>
      <c r="AJ23" s="625"/>
      <c r="AK23" s="626"/>
      <c r="AL23" s="637">
        <f t="shared" si="5"/>
      </c>
      <c r="AM23" s="638"/>
      <c r="AN23" s="639"/>
      <c r="AO23" s="624"/>
      <c r="AP23" s="625"/>
      <c r="AQ23" s="626"/>
      <c r="AR23" s="637">
        <f t="shared" si="6"/>
      </c>
      <c r="AS23" s="638"/>
      <c r="AT23" s="639"/>
      <c r="AU23" s="331"/>
      <c r="AV23" s="328"/>
      <c r="AW23" s="328"/>
      <c r="AX23" s="329"/>
      <c r="BA23" s="152">
        <f t="shared" si="9"/>
        <v>9.0909</v>
      </c>
      <c r="BB23" s="100">
        <f t="shared" si="7"/>
        <v>9.09</v>
      </c>
      <c r="BC23" s="61">
        <f t="shared" si="2"/>
        <v>9.1525</v>
      </c>
      <c r="BD23" s="100">
        <f t="shared" si="3"/>
        <v>9.15</v>
      </c>
      <c r="BE23" s="100">
        <f t="shared" si="8"/>
        <v>-8.99999999999821</v>
      </c>
      <c r="BF23" s="109">
        <f t="shared" si="4"/>
        <v>0</v>
      </c>
      <c r="BG23" s="148" t="s">
        <v>168</v>
      </c>
      <c r="BH23" s="124"/>
      <c r="BI23" s="102" t="s">
        <v>279</v>
      </c>
    </row>
    <row r="24" spans="1:60" ht="15" customHeight="1">
      <c r="A24" s="4"/>
      <c r="B24" s="556"/>
      <c r="C24" s="556"/>
      <c r="D24" s="556"/>
      <c r="E24" s="556"/>
      <c r="F24" s="556"/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6"/>
      <c r="W24" s="556"/>
      <c r="X24" s="556"/>
      <c r="Y24" s="556"/>
      <c r="Z24" s="556"/>
      <c r="AA24" s="556"/>
      <c r="AB24" s="556"/>
      <c r="AC24" s="556"/>
      <c r="AD24" s="556"/>
      <c r="AE24" s="556"/>
      <c r="AF24" s="556"/>
      <c r="AG24" s="556"/>
      <c r="AH24" s="556"/>
      <c r="AI24" s="556"/>
      <c r="AJ24" s="556"/>
      <c r="AK24" s="556"/>
      <c r="AL24" s="556"/>
      <c r="AM24" s="556"/>
      <c r="AN24" s="556"/>
      <c r="AO24" s="556"/>
      <c r="AP24" s="556"/>
      <c r="AQ24" s="556"/>
      <c r="AR24" s="556"/>
      <c r="AS24" s="556"/>
      <c r="AT24" s="556"/>
      <c r="AU24" s="556"/>
      <c r="AV24" s="556"/>
      <c r="AW24" s="556"/>
      <c r="AX24" s="556"/>
      <c r="BD24"/>
      <c r="BH24" s="10"/>
    </row>
    <row r="25" spans="1:60" ht="17.25" customHeight="1">
      <c r="A25" s="9"/>
      <c r="B25" s="369" t="s">
        <v>158</v>
      </c>
      <c r="C25" s="370"/>
      <c r="D25" s="370"/>
      <c r="E25" s="370"/>
      <c r="F25" s="370"/>
      <c r="G25" s="370"/>
      <c r="H25" s="370"/>
      <c r="I25" s="370"/>
      <c r="J25" s="370"/>
      <c r="K25" s="370"/>
      <c r="L25" s="370"/>
      <c r="M25" s="370"/>
      <c r="N25" s="370"/>
      <c r="O25" s="370"/>
      <c r="P25" s="370"/>
      <c r="Q25" s="370"/>
      <c r="R25" s="370"/>
      <c r="S25" s="370"/>
      <c r="T25" s="370"/>
      <c r="U25" s="370"/>
      <c r="V25" s="370"/>
      <c r="W25" s="370"/>
      <c r="X25" s="370"/>
      <c r="Y25" s="370"/>
      <c r="Z25" s="370"/>
      <c r="AA25" s="370"/>
      <c r="AB25" s="370"/>
      <c r="AC25" s="370"/>
      <c r="AD25" s="370"/>
      <c r="AE25" s="370"/>
      <c r="AF25" s="370"/>
      <c r="AG25" s="370"/>
      <c r="AH25" s="370"/>
      <c r="AI25" s="370"/>
      <c r="AJ25" s="371"/>
      <c r="AK25" s="112"/>
      <c r="AL25" s="369" t="s">
        <v>96</v>
      </c>
      <c r="AM25" s="370"/>
      <c r="AN25" s="370"/>
      <c r="AO25" s="370"/>
      <c r="AP25" s="370"/>
      <c r="AQ25" s="370"/>
      <c r="AR25" s="370"/>
      <c r="AS25" s="370"/>
      <c r="AT25" s="370"/>
      <c r="AU25" s="370"/>
      <c r="AV25" s="370"/>
      <c r="AW25" s="370"/>
      <c r="AX25" s="371"/>
      <c r="BF25" s="124" t="s">
        <v>222</v>
      </c>
      <c r="BH25" s="124" t="s">
        <v>228</v>
      </c>
    </row>
    <row r="26" spans="1:60" ht="18" customHeight="1">
      <c r="A26" s="4"/>
      <c r="B26" s="323" t="s">
        <v>150</v>
      </c>
      <c r="C26" s="317"/>
      <c r="D26" s="317"/>
      <c r="E26" s="324"/>
      <c r="F26" s="369" t="s">
        <v>160</v>
      </c>
      <c r="G26" s="370"/>
      <c r="H26" s="370"/>
      <c r="I26" s="370"/>
      <c r="J26" s="370"/>
      <c r="K26" s="370"/>
      <c r="L26" s="370"/>
      <c r="M26" s="370"/>
      <c r="N26" s="371"/>
      <c r="O26" s="369" t="s">
        <v>161</v>
      </c>
      <c r="P26" s="370"/>
      <c r="Q26" s="370"/>
      <c r="R26" s="370"/>
      <c r="S26" s="370"/>
      <c r="T26" s="370"/>
      <c r="U26" s="370"/>
      <c r="V26" s="370"/>
      <c r="W26" s="370"/>
      <c r="X26" s="370"/>
      <c r="Y26" s="371"/>
      <c r="Z26" s="369" t="s">
        <v>162</v>
      </c>
      <c r="AA26" s="370"/>
      <c r="AB26" s="370"/>
      <c r="AC26" s="370"/>
      <c r="AD26" s="370"/>
      <c r="AE26" s="370"/>
      <c r="AF26" s="370"/>
      <c r="AG26" s="370"/>
      <c r="AH26" s="370"/>
      <c r="AI26" s="370"/>
      <c r="AJ26" s="371"/>
      <c r="AK26" s="112"/>
      <c r="AL26" s="640"/>
      <c r="AM26" s="641"/>
      <c r="AN26" s="641"/>
      <c r="AO26" s="641"/>
      <c r="AP26" s="641"/>
      <c r="AQ26" s="641"/>
      <c r="AR26" s="641"/>
      <c r="AS26" s="641"/>
      <c r="AT26" s="641"/>
      <c r="AU26" s="641"/>
      <c r="AV26" s="641"/>
      <c r="AW26" s="641"/>
      <c r="AX26" s="642"/>
      <c r="BF26" s="117" t="s">
        <v>226</v>
      </c>
      <c r="BG26" s="135" t="s">
        <v>227</v>
      </c>
      <c r="BH26" s="90">
        <v>0.2</v>
      </c>
    </row>
    <row r="27" spans="1:60" ht="18" customHeight="1">
      <c r="A27" s="4"/>
      <c r="B27" s="321"/>
      <c r="C27" s="314"/>
      <c r="D27" s="314"/>
      <c r="E27" s="319"/>
      <c r="F27" s="369" t="s">
        <v>166</v>
      </c>
      <c r="G27" s="370"/>
      <c r="H27" s="371"/>
      <c r="I27" s="369" t="s">
        <v>99</v>
      </c>
      <c r="J27" s="370"/>
      <c r="K27" s="371"/>
      <c r="L27" s="369" t="s">
        <v>174</v>
      </c>
      <c r="M27" s="370"/>
      <c r="N27" s="371"/>
      <c r="O27" s="369" t="s">
        <v>166</v>
      </c>
      <c r="P27" s="370"/>
      <c r="Q27" s="370"/>
      <c r="R27" s="371"/>
      <c r="S27" s="369" t="s">
        <v>99</v>
      </c>
      <c r="T27" s="370"/>
      <c r="U27" s="370"/>
      <c r="V27" s="371"/>
      <c r="W27" s="369" t="s">
        <v>64</v>
      </c>
      <c r="X27" s="370"/>
      <c r="Y27" s="371"/>
      <c r="Z27" s="369" t="s">
        <v>166</v>
      </c>
      <c r="AA27" s="370"/>
      <c r="AB27" s="370"/>
      <c r="AC27" s="371"/>
      <c r="AD27" s="369" t="s">
        <v>99</v>
      </c>
      <c r="AE27" s="370"/>
      <c r="AF27" s="370"/>
      <c r="AG27" s="371"/>
      <c r="AH27" s="369" t="s">
        <v>64</v>
      </c>
      <c r="AI27" s="370"/>
      <c r="AJ27" s="371"/>
      <c r="AK27" s="112"/>
      <c r="AL27" s="628"/>
      <c r="AM27" s="629"/>
      <c r="AN27" s="629"/>
      <c r="AO27" s="629"/>
      <c r="AP27" s="629"/>
      <c r="AQ27" s="629"/>
      <c r="AR27" s="629"/>
      <c r="AS27" s="629"/>
      <c r="AT27" s="629"/>
      <c r="AU27" s="629"/>
      <c r="AV27" s="629"/>
      <c r="AW27" s="629"/>
      <c r="AX27" s="630"/>
      <c r="BF27" s="73">
        <v>0.1</v>
      </c>
      <c r="BG27" s="129">
        <v>0.02</v>
      </c>
      <c r="BH27" s="91">
        <v>0.05</v>
      </c>
    </row>
    <row r="28" spans="1:61" ht="17.25" customHeight="1">
      <c r="A28" s="1"/>
      <c r="B28" s="376">
        <v>1</v>
      </c>
      <c r="C28" s="377"/>
      <c r="D28" s="377"/>
      <c r="E28" s="378"/>
      <c r="F28" s="383">
        <v>100</v>
      </c>
      <c r="G28" s="384"/>
      <c r="H28" s="385"/>
      <c r="I28" s="383">
        <v>100.01</v>
      </c>
      <c r="J28" s="384"/>
      <c r="K28" s="385"/>
      <c r="L28" s="650">
        <f aca="true" t="shared" si="10" ref="L28:L36">IF(OR(F28="",I28=""),"",ABS(I28-F28))</f>
        <v>0.010000000000005116</v>
      </c>
      <c r="M28" s="651"/>
      <c r="N28" s="652"/>
      <c r="O28" s="429" t="s">
        <v>269</v>
      </c>
      <c r="P28" s="430"/>
      <c r="Q28" s="430"/>
      <c r="R28" s="431"/>
      <c r="S28" s="429" t="s">
        <v>229</v>
      </c>
      <c r="T28" s="430"/>
      <c r="U28" s="430"/>
      <c r="V28" s="431"/>
      <c r="W28" s="432" t="str">
        <f>IF($BI$19=0,"",IF(AND(LEFT(RIGHT(O28,6),1)="-",LEFT(RIGHT(O28,3),1)="-",LEFT(RIGHT(S28,6),1)="-",LEFT(RIGHT(S28,3),1)="-"),BE15,"書式エラー"))</f>
        <v>書式エラー</v>
      </c>
      <c r="X28" s="433"/>
      <c r="Y28" s="434"/>
      <c r="Z28" s="429" t="s">
        <v>257</v>
      </c>
      <c r="AA28" s="430"/>
      <c r="AB28" s="430"/>
      <c r="AC28" s="431"/>
      <c r="AD28" s="429" t="s">
        <v>265</v>
      </c>
      <c r="AE28" s="430"/>
      <c r="AF28" s="430"/>
      <c r="AG28" s="431"/>
      <c r="AH28" s="432">
        <f>IF($BI$19=0,"",IF(AND(LEFT(RIGHT(Z28,6),1)="-",LEFT(RIGHT(Z28,3),1)="-",LEFT(RIGHT(AD28,6),1)="-",LEFT(RIGHT(AD28,3),1)="-"),BE28,"書式エラー"))</f>
        <v>-639.999999999985</v>
      </c>
      <c r="AI28" s="433"/>
      <c r="AJ28" s="434"/>
      <c r="AK28" s="113"/>
      <c r="AL28" s="631"/>
      <c r="AM28" s="632"/>
      <c r="AN28" s="632"/>
      <c r="AO28" s="632"/>
      <c r="AP28" s="632"/>
      <c r="AQ28" s="632"/>
      <c r="AR28" s="632"/>
      <c r="AS28" s="632"/>
      <c r="AT28" s="632"/>
      <c r="AU28" s="632"/>
      <c r="AV28" s="632"/>
      <c r="AW28" s="632"/>
      <c r="AX28" s="633"/>
      <c r="BA28" s="151">
        <f>IF(LEFT(Z28,1)="-",SUBSTITUTE(Z28,"-","")/10000*(-1),SUBSTITUTE(Z28,"-","")/10000)</f>
        <v>10.104</v>
      </c>
      <c r="BB28" s="98">
        <f>IF(LEFT(AD28,1)="-",SUBSTITUTE(AD28,"-","")/10000*(-1),SUBSTITUTE(AD28,"-","")/10000)</f>
        <v>10</v>
      </c>
      <c r="BC28" s="36">
        <f aca="true" t="shared" si="11" ref="BC28:BC36">SIGN(BA28)*(TRUNC(ABS(BA28))+(TRUNC((ABS(BA28)*100-TRUNC(ABS(BA28))*100)+0.01)/60)+((ABS(BA28)*10000-TRUNC(ABS(BA28)*100)*100)/60/60))-IF(ABS(BA28)&gt;180,360,0)</f>
        <v>10.177777777777774</v>
      </c>
      <c r="BD28" s="146">
        <f aca="true" t="shared" si="12" ref="BD28:BD36">SIGN(BB28)*(TRUNC(ABS(BB28))+(TRUNC((ABS(BB28)*100-TRUNC(ABS(BB28))*100)+0.01)/60)+((ABS(BB28)*10000-TRUNC(ABS(BB28)*100)*100)/60/60))-IF(ABS(BB28)&gt;180,360,0)</f>
        <v>10</v>
      </c>
      <c r="BE28" s="146">
        <f>(BD28-BC28)*3600</f>
        <v>-639.999999999985</v>
      </c>
      <c r="BF28" s="69">
        <v>0.1</v>
      </c>
      <c r="BG28" s="130">
        <v>0.03</v>
      </c>
      <c r="BH28" s="92">
        <v>0.1</v>
      </c>
      <c r="BI28" s="101">
        <f aca="true" t="shared" si="13" ref="BI28:BI36">IF(OR(B15="",E15=""),5,IF($BI$19=0,1,IF($I15="",2,IF($N15="",3,IF($BF15=0,4,0)))))</f>
        <v>4</v>
      </c>
    </row>
    <row r="29" spans="1:61" ht="17.25" customHeight="1">
      <c r="A29" s="1"/>
      <c r="B29" s="372">
        <v>2</v>
      </c>
      <c r="C29" s="373"/>
      <c r="D29" s="373"/>
      <c r="E29" s="349"/>
      <c r="F29" s="379">
        <v>200</v>
      </c>
      <c r="G29" s="332"/>
      <c r="H29" s="330"/>
      <c r="I29" s="379">
        <v>200.02</v>
      </c>
      <c r="J29" s="332"/>
      <c r="K29" s="330"/>
      <c r="L29" s="646">
        <f t="shared" si="10"/>
        <v>0.020000000000010232</v>
      </c>
      <c r="M29" s="534"/>
      <c r="N29" s="535"/>
      <c r="O29" s="444" t="s">
        <v>255</v>
      </c>
      <c r="P29" s="445"/>
      <c r="Q29" s="445"/>
      <c r="R29" s="446"/>
      <c r="S29" s="444" t="s">
        <v>254</v>
      </c>
      <c r="T29" s="445"/>
      <c r="U29" s="445"/>
      <c r="V29" s="446"/>
      <c r="W29" s="447">
        <f aca="true" t="shared" si="14" ref="W29:W36">IF($BI$19=0,"",IF(AND(LEFT(RIGHT(O29,6),1)="-",LEFT(RIGHT(O29,3),1)="-",LEFT(RIGHT(S29,6),1)="-",LEFT(RIGHT(S29,3),1)="-"),BE16,"書式エラー"))</f>
        <v>59.9999999999838</v>
      </c>
      <c r="X29" s="448"/>
      <c r="Y29" s="449"/>
      <c r="Z29" s="444" t="s">
        <v>266</v>
      </c>
      <c r="AA29" s="445"/>
      <c r="AB29" s="445"/>
      <c r="AC29" s="446"/>
      <c r="AD29" s="444" t="s">
        <v>267</v>
      </c>
      <c r="AE29" s="445"/>
      <c r="AF29" s="445"/>
      <c r="AG29" s="446"/>
      <c r="AH29" s="447">
        <f aca="true" t="shared" si="15" ref="AH29:AH36">IF($BI$19=0,"",IF(AND(LEFT(RIGHT(Z29,6),1)="-",LEFT(RIGHT(Z29,3),1)="-",LEFT(RIGHT(AD29,6),1)="-",LEFT(RIGHT(AD29,3),1)="-"),BE29,"書式エラー"))</f>
        <v>1199.9999999999957</v>
      </c>
      <c r="AI29" s="448"/>
      <c r="AJ29" s="449"/>
      <c r="AK29" s="113"/>
      <c r="AL29" s="369" t="s">
        <v>175</v>
      </c>
      <c r="AM29" s="370"/>
      <c r="AN29" s="370"/>
      <c r="AO29" s="370"/>
      <c r="AP29" s="370"/>
      <c r="AQ29" s="370"/>
      <c r="AR29" s="370"/>
      <c r="AS29" s="370"/>
      <c r="AT29" s="370"/>
      <c r="AU29" s="370"/>
      <c r="AV29" s="370"/>
      <c r="AW29" s="370"/>
      <c r="AX29" s="371"/>
      <c r="BA29" s="122">
        <f aca="true" t="shared" si="16" ref="BA29:BA36">IF(LEFT(Z29,1)="-",SUBSTITUTE(Z29,"-","")/10000*(-1),SUBSTITUTE(Z29,"-","")/10000)</f>
        <v>20</v>
      </c>
      <c r="BB29" s="99">
        <f aca="true" t="shared" si="17" ref="BB29:BB36">IF(LEFT(AD29,1)="-",SUBSTITUTE(AD29,"-","")/10000*(-1),SUBSTITUTE(AD29,"-","")/10000)</f>
        <v>20.2</v>
      </c>
      <c r="BC29" s="1">
        <f t="shared" si="11"/>
        <v>20</v>
      </c>
      <c r="BD29" s="147">
        <f t="shared" si="12"/>
        <v>20.333333333333332</v>
      </c>
      <c r="BE29" s="147">
        <f aca="true" t="shared" si="18" ref="BE29:BE36">(BD29-BC29)*3600</f>
        <v>1199.9999999999957</v>
      </c>
      <c r="BF29" s="69">
        <v>0.15</v>
      </c>
      <c r="BG29" s="130">
        <v>0.05</v>
      </c>
      <c r="BH29" s="92">
        <v>0.15</v>
      </c>
      <c r="BI29" s="103">
        <f t="shared" si="13"/>
        <v>0</v>
      </c>
    </row>
    <row r="30" spans="1:61" ht="17.25" customHeight="1">
      <c r="A30" s="1"/>
      <c r="B30" s="372">
        <v>3</v>
      </c>
      <c r="C30" s="373"/>
      <c r="D30" s="373"/>
      <c r="E30" s="349"/>
      <c r="F30" s="379">
        <v>300</v>
      </c>
      <c r="G30" s="332"/>
      <c r="H30" s="330"/>
      <c r="I30" s="379">
        <v>300.03</v>
      </c>
      <c r="J30" s="332"/>
      <c r="K30" s="330"/>
      <c r="L30" s="646">
        <f t="shared" si="10"/>
        <v>0.029999999999972715</v>
      </c>
      <c r="M30" s="534"/>
      <c r="N30" s="535"/>
      <c r="O30" s="444" t="s">
        <v>268</v>
      </c>
      <c r="P30" s="445"/>
      <c r="Q30" s="445"/>
      <c r="R30" s="446"/>
      <c r="S30" s="444" t="s">
        <v>232</v>
      </c>
      <c r="T30" s="445"/>
      <c r="U30" s="445"/>
      <c r="V30" s="446"/>
      <c r="W30" s="447">
        <f t="shared" si="14"/>
        <v>-27.000000000001023</v>
      </c>
      <c r="X30" s="448"/>
      <c r="Y30" s="449"/>
      <c r="Z30" s="444" t="s">
        <v>233</v>
      </c>
      <c r="AA30" s="445"/>
      <c r="AB30" s="445"/>
      <c r="AC30" s="446"/>
      <c r="AD30" s="444" t="s">
        <v>234</v>
      </c>
      <c r="AE30" s="445"/>
      <c r="AF30" s="445"/>
      <c r="AG30" s="446"/>
      <c r="AH30" s="447" t="str">
        <f t="shared" si="15"/>
        <v>書式エラー</v>
      </c>
      <c r="AI30" s="448"/>
      <c r="AJ30" s="449"/>
      <c r="AK30" s="113"/>
      <c r="AL30" s="369" t="s">
        <v>176</v>
      </c>
      <c r="AM30" s="370"/>
      <c r="AN30" s="370"/>
      <c r="AO30" s="371"/>
      <c r="AP30" s="369" t="s">
        <v>177</v>
      </c>
      <c r="AQ30" s="370"/>
      <c r="AR30" s="370"/>
      <c r="AS30" s="371"/>
      <c r="AT30" s="369" t="s">
        <v>178</v>
      </c>
      <c r="AU30" s="370"/>
      <c r="AV30" s="370"/>
      <c r="AW30" s="370"/>
      <c r="AX30" s="371"/>
      <c r="BA30" s="122">
        <f t="shared" si="16"/>
        <v>0.003</v>
      </c>
      <c r="BB30" s="99">
        <f t="shared" si="17"/>
        <v>0.303</v>
      </c>
      <c r="BC30" s="1">
        <f t="shared" si="11"/>
        <v>0.008333333333333333</v>
      </c>
      <c r="BD30" s="147">
        <f t="shared" si="12"/>
        <v>0.5083333333333333</v>
      </c>
      <c r="BE30" s="147">
        <f t="shared" si="18"/>
        <v>1799.9999999999998</v>
      </c>
      <c r="BF30" s="150">
        <v>0.15</v>
      </c>
      <c r="BG30" s="131">
        <v>0.1</v>
      </c>
      <c r="BH30" s="93">
        <v>0.3</v>
      </c>
      <c r="BI30" s="103">
        <f t="shared" si="13"/>
        <v>0</v>
      </c>
    </row>
    <row r="31" spans="1:61" ht="17.25" customHeight="1">
      <c r="A31" s="1"/>
      <c r="B31" s="372">
        <v>4</v>
      </c>
      <c r="C31" s="373"/>
      <c r="D31" s="373"/>
      <c r="E31" s="349"/>
      <c r="F31" s="379">
        <v>400</v>
      </c>
      <c r="G31" s="332"/>
      <c r="H31" s="330"/>
      <c r="I31" s="379">
        <v>400.04</v>
      </c>
      <c r="J31" s="332"/>
      <c r="K31" s="330"/>
      <c r="L31" s="646">
        <f t="shared" si="10"/>
        <v>0.040000000000020464</v>
      </c>
      <c r="M31" s="534"/>
      <c r="N31" s="535"/>
      <c r="O31" s="444" t="s">
        <v>256</v>
      </c>
      <c r="P31" s="445"/>
      <c r="Q31" s="445"/>
      <c r="R31" s="446"/>
      <c r="S31" s="444" t="s">
        <v>250</v>
      </c>
      <c r="T31" s="445"/>
      <c r="U31" s="445"/>
      <c r="V31" s="446"/>
      <c r="W31" s="447">
        <f t="shared" si="14"/>
        <v>96.000000000015</v>
      </c>
      <c r="X31" s="448"/>
      <c r="Y31" s="449"/>
      <c r="Z31" s="444" t="s">
        <v>235</v>
      </c>
      <c r="AA31" s="445"/>
      <c r="AB31" s="445"/>
      <c r="AC31" s="446"/>
      <c r="AD31" s="444" t="s">
        <v>236</v>
      </c>
      <c r="AE31" s="445"/>
      <c r="AF31" s="445"/>
      <c r="AG31" s="446"/>
      <c r="AH31" s="447" t="str">
        <f t="shared" si="15"/>
        <v>書式エラー</v>
      </c>
      <c r="AI31" s="448"/>
      <c r="AJ31" s="449"/>
      <c r="AK31" s="113"/>
      <c r="AL31" s="640"/>
      <c r="AM31" s="641"/>
      <c r="AN31" s="641"/>
      <c r="AO31" s="642"/>
      <c r="AP31" s="640"/>
      <c r="AQ31" s="641"/>
      <c r="AR31" s="641"/>
      <c r="AS31" s="642"/>
      <c r="AT31" s="640"/>
      <c r="AU31" s="641"/>
      <c r="AV31" s="641"/>
      <c r="AW31" s="641"/>
      <c r="AX31" s="642"/>
      <c r="BA31" s="122">
        <f t="shared" si="16"/>
        <v>0.004</v>
      </c>
      <c r="BB31" s="99">
        <f t="shared" si="17"/>
        <v>0.404</v>
      </c>
      <c r="BC31" s="1">
        <f t="shared" si="11"/>
        <v>0.01111111111111111</v>
      </c>
      <c r="BD31" s="147">
        <f t="shared" si="12"/>
        <v>0.6777777777777778</v>
      </c>
      <c r="BE31" s="147">
        <f t="shared" si="18"/>
        <v>2400.0000000000005</v>
      </c>
      <c r="BF31" s="124" t="s">
        <v>225</v>
      </c>
      <c r="BH31" s="124"/>
      <c r="BI31" s="103">
        <f t="shared" si="13"/>
        <v>0</v>
      </c>
    </row>
    <row r="32" spans="1:61" ht="17.25" customHeight="1">
      <c r="A32" s="1"/>
      <c r="B32" s="372">
        <v>5</v>
      </c>
      <c r="C32" s="373"/>
      <c r="D32" s="373"/>
      <c r="E32" s="349"/>
      <c r="F32" s="379">
        <v>500</v>
      </c>
      <c r="G32" s="332"/>
      <c r="H32" s="330"/>
      <c r="I32" s="379">
        <v>500.05</v>
      </c>
      <c r="J32" s="332"/>
      <c r="K32" s="330"/>
      <c r="L32" s="646">
        <f t="shared" si="10"/>
        <v>0.05000000000001137</v>
      </c>
      <c r="M32" s="534"/>
      <c r="N32" s="535"/>
      <c r="O32" s="444" t="s">
        <v>237</v>
      </c>
      <c r="P32" s="445"/>
      <c r="Q32" s="445"/>
      <c r="R32" s="446"/>
      <c r="S32" s="444" t="s">
        <v>238</v>
      </c>
      <c r="T32" s="445"/>
      <c r="U32" s="445"/>
      <c r="V32" s="446"/>
      <c r="W32" s="447">
        <f t="shared" si="14"/>
        <v>-44.99999999998465</v>
      </c>
      <c r="X32" s="448"/>
      <c r="Y32" s="449"/>
      <c r="Z32" s="444" t="s">
        <v>260</v>
      </c>
      <c r="AA32" s="445"/>
      <c r="AB32" s="445"/>
      <c r="AC32" s="446"/>
      <c r="AD32" s="444" t="s">
        <v>239</v>
      </c>
      <c r="AE32" s="445"/>
      <c r="AF32" s="445"/>
      <c r="AG32" s="446"/>
      <c r="AH32" s="447" t="str">
        <f t="shared" si="15"/>
        <v>書式エラー</v>
      </c>
      <c r="AI32" s="448"/>
      <c r="AJ32" s="449"/>
      <c r="AK32" s="113"/>
      <c r="AL32" s="628"/>
      <c r="AM32" s="629"/>
      <c r="AN32" s="629"/>
      <c r="AO32" s="630"/>
      <c r="AP32" s="628"/>
      <c r="AQ32" s="629"/>
      <c r="AR32" s="629"/>
      <c r="AS32" s="630"/>
      <c r="AT32" s="628"/>
      <c r="AU32" s="629"/>
      <c r="AV32" s="629"/>
      <c r="AW32" s="629"/>
      <c r="AX32" s="630"/>
      <c r="BA32" s="122">
        <f t="shared" si="16"/>
        <v>0.005</v>
      </c>
      <c r="BB32" s="99">
        <f t="shared" si="17"/>
        <v>0.505</v>
      </c>
      <c r="BC32" s="1">
        <f t="shared" si="11"/>
        <v>0.01388888888888889</v>
      </c>
      <c r="BD32" s="147">
        <f t="shared" si="12"/>
        <v>0.8472222222222222</v>
      </c>
      <c r="BE32" s="147">
        <f t="shared" si="18"/>
        <v>3000</v>
      </c>
      <c r="BF32" s="128" t="s">
        <v>224</v>
      </c>
      <c r="BH32" s="124" t="s">
        <v>223</v>
      </c>
      <c r="BI32" s="103">
        <f t="shared" si="13"/>
        <v>0</v>
      </c>
    </row>
    <row r="33" spans="1:61" ht="17.25" customHeight="1">
      <c r="A33" s="1"/>
      <c r="B33" s="372">
        <v>6</v>
      </c>
      <c r="C33" s="373"/>
      <c r="D33" s="373"/>
      <c r="E33" s="349"/>
      <c r="F33" s="379">
        <v>600</v>
      </c>
      <c r="G33" s="332"/>
      <c r="H33" s="330"/>
      <c r="I33" s="379">
        <v>600.06</v>
      </c>
      <c r="J33" s="332"/>
      <c r="K33" s="330"/>
      <c r="L33" s="646">
        <f t="shared" si="10"/>
        <v>0.05999999999994543</v>
      </c>
      <c r="M33" s="534"/>
      <c r="N33" s="535"/>
      <c r="O33" s="444" t="s">
        <v>240</v>
      </c>
      <c r="P33" s="445"/>
      <c r="Q33" s="445"/>
      <c r="R33" s="446"/>
      <c r="S33" s="444" t="s">
        <v>251</v>
      </c>
      <c r="T33" s="445"/>
      <c r="U33" s="445"/>
      <c r="V33" s="446"/>
      <c r="W33" s="447">
        <f t="shared" si="14"/>
        <v>-6.000000000007333</v>
      </c>
      <c r="X33" s="448"/>
      <c r="Y33" s="449"/>
      <c r="Z33" s="444" t="s">
        <v>261</v>
      </c>
      <c r="AA33" s="445"/>
      <c r="AB33" s="445"/>
      <c r="AC33" s="446"/>
      <c r="AD33" s="444" t="s">
        <v>241</v>
      </c>
      <c r="AE33" s="445"/>
      <c r="AF33" s="445"/>
      <c r="AG33" s="446"/>
      <c r="AH33" s="447" t="str">
        <f t="shared" si="15"/>
        <v>書式エラー</v>
      </c>
      <c r="AI33" s="448"/>
      <c r="AJ33" s="449"/>
      <c r="AK33" s="113"/>
      <c r="AL33" s="631"/>
      <c r="AM33" s="632"/>
      <c r="AN33" s="632"/>
      <c r="AO33" s="633"/>
      <c r="AP33" s="631"/>
      <c r="AQ33" s="632"/>
      <c r="AR33" s="632"/>
      <c r="AS33" s="633"/>
      <c r="AT33" s="631"/>
      <c r="AU33" s="632"/>
      <c r="AV33" s="632"/>
      <c r="AW33" s="632"/>
      <c r="AX33" s="633"/>
      <c r="BA33" s="122">
        <f t="shared" si="16"/>
        <v>0.006</v>
      </c>
      <c r="BB33" s="99">
        <f t="shared" si="17"/>
        <v>0.6006</v>
      </c>
      <c r="BC33" s="1">
        <f t="shared" si="11"/>
        <v>0.016666666666666666</v>
      </c>
      <c r="BD33" s="147">
        <f t="shared" si="12"/>
        <v>1.0016666666666667</v>
      </c>
      <c r="BE33" s="147">
        <f t="shared" si="18"/>
        <v>3546</v>
      </c>
      <c r="BF33" s="129">
        <v>0.01</v>
      </c>
      <c r="BG33" s="69"/>
      <c r="BH33" s="91">
        <v>0.05</v>
      </c>
      <c r="BI33" s="103">
        <f t="shared" si="13"/>
        <v>5</v>
      </c>
    </row>
    <row r="34" spans="1:61" ht="17.25" customHeight="1">
      <c r="A34" s="1"/>
      <c r="B34" s="372">
        <v>7</v>
      </c>
      <c r="C34" s="373"/>
      <c r="D34" s="373"/>
      <c r="E34" s="349"/>
      <c r="F34" s="379">
        <v>700</v>
      </c>
      <c r="G34" s="332"/>
      <c r="H34" s="330"/>
      <c r="I34" s="379">
        <v>700.07</v>
      </c>
      <c r="J34" s="332"/>
      <c r="K34" s="330"/>
      <c r="L34" s="646">
        <f t="shared" si="10"/>
        <v>0.07000000000005002</v>
      </c>
      <c r="M34" s="534"/>
      <c r="N34" s="535"/>
      <c r="O34" s="444" t="s">
        <v>259</v>
      </c>
      <c r="P34" s="445"/>
      <c r="Q34" s="445"/>
      <c r="R34" s="446"/>
      <c r="S34" s="444" t="s">
        <v>258</v>
      </c>
      <c r="T34" s="445"/>
      <c r="U34" s="445"/>
      <c r="V34" s="446"/>
      <c r="W34" s="447">
        <f t="shared" si="14"/>
        <v>-127.00000000000067</v>
      </c>
      <c r="X34" s="448"/>
      <c r="Y34" s="449"/>
      <c r="Z34" s="444" t="s">
        <v>262</v>
      </c>
      <c r="AA34" s="445"/>
      <c r="AB34" s="445"/>
      <c r="AC34" s="446"/>
      <c r="AD34" s="444" t="s">
        <v>242</v>
      </c>
      <c r="AE34" s="445"/>
      <c r="AF34" s="445"/>
      <c r="AG34" s="446"/>
      <c r="AH34" s="447" t="str">
        <f t="shared" si="15"/>
        <v>書式エラー</v>
      </c>
      <c r="AI34" s="448"/>
      <c r="AJ34" s="449"/>
      <c r="AK34" s="113"/>
      <c r="AL34" s="369" t="s">
        <v>179</v>
      </c>
      <c r="AM34" s="370"/>
      <c r="AN34" s="370"/>
      <c r="AO34" s="370"/>
      <c r="AP34" s="370"/>
      <c r="AQ34" s="370"/>
      <c r="AR34" s="370"/>
      <c r="AS34" s="370"/>
      <c r="AT34" s="370"/>
      <c r="AU34" s="370"/>
      <c r="AV34" s="370"/>
      <c r="AW34" s="370"/>
      <c r="AX34" s="371"/>
      <c r="BA34" s="122">
        <f t="shared" si="16"/>
        <v>0.007</v>
      </c>
      <c r="BB34" s="99">
        <f t="shared" si="17"/>
        <v>0.7007</v>
      </c>
      <c r="BC34" s="1">
        <f t="shared" si="11"/>
        <v>0.019444444444444445</v>
      </c>
      <c r="BD34" s="147">
        <f t="shared" si="12"/>
        <v>1.1686111111111113</v>
      </c>
      <c r="BE34" s="147">
        <f t="shared" si="18"/>
        <v>4137.000000000001</v>
      </c>
      <c r="BF34" s="130">
        <v>0.015</v>
      </c>
      <c r="BG34" s="69"/>
      <c r="BH34" s="92">
        <v>0.1</v>
      </c>
      <c r="BI34" s="103">
        <f t="shared" si="13"/>
        <v>5</v>
      </c>
    </row>
    <row r="35" spans="1:61" ht="17.25" customHeight="1">
      <c r="A35" s="1"/>
      <c r="B35" s="372">
        <v>8</v>
      </c>
      <c r="C35" s="373"/>
      <c r="D35" s="373"/>
      <c r="E35" s="349"/>
      <c r="F35" s="379">
        <v>800</v>
      </c>
      <c r="G35" s="332"/>
      <c r="H35" s="330"/>
      <c r="I35" s="379">
        <v>800.08</v>
      </c>
      <c r="J35" s="332"/>
      <c r="K35" s="330"/>
      <c r="L35" s="646">
        <f t="shared" si="10"/>
        <v>0.08000000000004093</v>
      </c>
      <c r="M35" s="534"/>
      <c r="N35" s="535"/>
      <c r="O35" s="444" t="s">
        <v>243</v>
      </c>
      <c r="P35" s="445"/>
      <c r="Q35" s="445"/>
      <c r="R35" s="446"/>
      <c r="S35" s="444" t="s">
        <v>252</v>
      </c>
      <c r="T35" s="445"/>
      <c r="U35" s="445"/>
      <c r="V35" s="446"/>
      <c r="W35" s="447">
        <f t="shared" si="14"/>
        <v>-8.00000000000125</v>
      </c>
      <c r="X35" s="448"/>
      <c r="Y35" s="449"/>
      <c r="Z35" s="444" t="s">
        <v>263</v>
      </c>
      <c r="AA35" s="445"/>
      <c r="AB35" s="445"/>
      <c r="AC35" s="446"/>
      <c r="AD35" s="444" t="s">
        <v>244</v>
      </c>
      <c r="AE35" s="445"/>
      <c r="AF35" s="445"/>
      <c r="AG35" s="446"/>
      <c r="AH35" s="447" t="str">
        <f t="shared" si="15"/>
        <v>書式エラー</v>
      </c>
      <c r="AI35" s="448"/>
      <c r="AJ35" s="449"/>
      <c r="AK35" s="113"/>
      <c r="AL35" s="640"/>
      <c r="AM35" s="641"/>
      <c r="AN35" s="641"/>
      <c r="AO35" s="641"/>
      <c r="AP35" s="641"/>
      <c r="AQ35" s="641"/>
      <c r="AR35" s="641"/>
      <c r="AS35" s="641"/>
      <c r="AT35" s="641"/>
      <c r="AU35" s="641"/>
      <c r="AV35" s="641"/>
      <c r="AW35" s="641"/>
      <c r="AX35" s="642"/>
      <c r="BA35" s="122">
        <f t="shared" si="16"/>
        <v>0.008</v>
      </c>
      <c r="BB35" s="99">
        <f t="shared" si="17"/>
        <v>0.8008</v>
      </c>
      <c r="BC35" s="1">
        <f t="shared" si="11"/>
        <v>0.02222222222222222</v>
      </c>
      <c r="BD35" s="147">
        <f t="shared" si="12"/>
        <v>1.3355555555555554</v>
      </c>
      <c r="BE35" s="147">
        <f t="shared" si="18"/>
        <v>4728</v>
      </c>
      <c r="BF35" s="130">
        <v>0.025</v>
      </c>
      <c r="BG35" s="69"/>
      <c r="BH35" s="92">
        <v>0.15</v>
      </c>
      <c r="BI35" s="103">
        <f t="shared" si="13"/>
        <v>5</v>
      </c>
    </row>
    <row r="36" spans="1:61" ht="17.25" customHeight="1">
      <c r="A36" s="1"/>
      <c r="B36" s="331">
        <v>9</v>
      </c>
      <c r="C36" s="328"/>
      <c r="D36" s="328"/>
      <c r="E36" s="329"/>
      <c r="F36" s="412">
        <v>900</v>
      </c>
      <c r="G36" s="413"/>
      <c r="H36" s="414"/>
      <c r="I36" s="412">
        <v>900.09</v>
      </c>
      <c r="J36" s="413"/>
      <c r="K36" s="414"/>
      <c r="L36" s="647">
        <f t="shared" si="10"/>
        <v>0.09000000000003183</v>
      </c>
      <c r="M36" s="648"/>
      <c r="N36" s="649"/>
      <c r="O36" s="438" t="s">
        <v>245</v>
      </c>
      <c r="P36" s="439"/>
      <c r="Q36" s="439"/>
      <c r="R36" s="440"/>
      <c r="S36" s="438" t="s">
        <v>253</v>
      </c>
      <c r="T36" s="439"/>
      <c r="U36" s="439"/>
      <c r="V36" s="440"/>
      <c r="W36" s="450">
        <f t="shared" si="14"/>
        <v>-8.99999999999821</v>
      </c>
      <c r="X36" s="451"/>
      <c r="Y36" s="452"/>
      <c r="Z36" s="438" t="s">
        <v>264</v>
      </c>
      <c r="AA36" s="439"/>
      <c r="AB36" s="439"/>
      <c r="AC36" s="440"/>
      <c r="AD36" s="438" t="s">
        <v>246</v>
      </c>
      <c r="AE36" s="439"/>
      <c r="AF36" s="439"/>
      <c r="AG36" s="440"/>
      <c r="AH36" s="450" t="str">
        <f t="shared" si="15"/>
        <v>書式エラー</v>
      </c>
      <c r="AI36" s="451"/>
      <c r="AJ36" s="452"/>
      <c r="AK36" s="112"/>
      <c r="AL36" s="631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3"/>
      <c r="BA36" s="152">
        <f t="shared" si="16"/>
        <v>0.009</v>
      </c>
      <c r="BB36" s="100">
        <f t="shared" si="17"/>
        <v>0.9009</v>
      </c>
      <c r="BC36" s="61">
        <f t="shared" si="11"/>
        <v>0.025</v>
      </c>
      <c r="BD36" s="148">
        <f t="shared" si="12"/>
        <v>1.5025</v>
      </c>
      <c r="BE36" s="148">
        <f t="shared" si="18"/>
        <v>5319</v>
      </c>
      <c r="BF36" s="131">
        <v>0.05</v>
      </c>
      <c r="BG36" s="69"/>
      <c r="BH36" s="93">
        <v>0.3</v>
      </c>
      <c r="BI36" s="102">
        <f t="shared" si="13"/>
        <v>5</v>
      </c>
    </row>
    <row r="37" spans="1:59" ht="15" customHeight="1">
      <c r="A37" s="1"/>
      <c r="V37"/>
      <c r="W37"/>
      <c r="X37"/>
      <c r="BD37"/>
      <c r="BE37"/>
      <c r="BF37"/>
      <c r="BG37"/>
    </row>
    <row r="38" spans="1:59" ht="13.5">
      <c r="A38" s="1"/>
      <c r="V38"/>
      <c r="W38"/>
      <c r="X38"/>
      <c r="BD38"/>
      <c r="BE38"/>
      <c r="BF38"/>
      <c r="BG38"/>
    </row>
    <row r="39" spans="22:59" ht="13.5">
      <c r="V39"/>
      <c r="W39"/>
      <c r="X39"/>
      <c r="BD39"/>
      <c r="BE39"/>
      <c r="BF39"/>
      <c r="BG39"/>
    </row>
    <row r="40" spans="22:59" ht="13.5">
      <c r="V40"/>
      <c r="W40"/>
      <c r="X40"/>
      <c r="BD40"/>
      <c r="BE40"/>
      <c r="BF40"/>
      <c r="BG40"/>
    </row>
    <row r="41" spans="22:59" ht="13.5">
      <c r="V41"/>
      <c r="W41"/>
      <c r="X41"/>
      <c r="BD41"/>
      <c r="BE41"/>
      <c r="BF41"/>
      <c r="BG41"/>
    </row>
    <row r="42" spans="22:59" ht="13.5">
      <c r="V42"/>
      <c r="W42"/>
      <c r="X42"/>
      <c r="BD42"/>
      <c r="BE42"/>
      <c r="BF42"/>
      <c r="BG42"/>
    </row>
    <row r="43" spans="22:59" ht="13.5">
      <c r="V43"/>
      <c r="W43"/>
      <c r="X43"/>
      <c r="BD43"/>
      <c r="BE43"/>
      <c r="BF43"/>
      <c r="BG43"/>
    </row>
    <row r="44" spans="22:59" ht="13.5">
      <c r="V44"/>
      <c r="W44"/>
      <c r="X44"/>
      <c r="BD44"/>
      <c r="BE44"/>
      <c r="BF44"/>
      <c r="BG44"/>
    </row>
    <row r="45" spans="22:59" ht="13.5">
      <c r="V45"/>
      <c r="W45"/>
      <c r="X45"/>
      <c r="BD45"/>
      <c r="BE45"/>
      <c r="BF45"/>
      <c r="BG45"/>
    </row>
    <row r="46" spans="22:59" ht="12.75">
      <c r="V46"/>
      <c r="W46"/>
      <c r="X46"/>
      <c r="BD46"/>
      <c r="BE46"/>
      <c r="BF46"/>
      <c r="BG46"/>
    </row>
    <row r="47" spans="22:59" ht="12.75">
      <c r="V47"/>
      <c r="W47"/>
      <c r="X47"/>
      <c r="BD47"/>
      <c r="BE47"/>
      <c r="BF47"/>
      <c r="BG47"/>
    </row>
    <row r="48" spans="22:59" ht="12.75">
      <c r="V48"/>
      <c r="W48"/>
      <c r="X48"/>
      <c r="BD48"/>
      <c r="BE48"/>
      <c r="BF48"/>
      <c r="BG48"/>
    </row>
    <row r="49" spans="22:59" ht="12.75">
      <c r="V49"/>
      <c r="W49"/>
      <c r="X49"/>
      <c r="BD49"/>
      <c r="BE49"/>
      <c r="BF49"/>
      <c r="BG49"/>
    </row>
    <row r="50" spans="22:59" ht="12.75">
      <c r="V50"/>
      <c r="W50"/>
      <c r="X50"/>
      <c r="BD50"/>
      <c r="BE50"/>
      <c r="BF50"/>
      <c r="BG50"/>
    </row>
    <row r="51" spans="22:59" ht="12.75">
      <c r="V51"/>
      <c r="W51"/>
      <c r="X51"/>
      <c r="BD51"/>
      <c r="BE51"/>
      <c r="BF51"/>
      <c r="BG51"/>
    </row>
    <row r="52" spans="22:59" ht="12.75">
      <c r="V52"/>
      <c r="W52"/>
      <c r="X52"/>
      <c r="BD52"/>
      <c r="BE52"/>
      <c r="BF52"/>
      <c r="BG52"/>
    </row>
    <row r="53" spans="22:59" ht="12.75">
      <c r="V53"/>
      <c r="W53"/>
      <c r="X53"/>
      <c r="BD53" s="10"/>
      <c r="BE53" s="10"/>
      <c r="BF53" s="10"/>
      <c r="BG53" s="10"/>
    </row>
    <row r="54" spans="22:59" ht="12.75">
      <c r="V54"/>
      <c r="W54"/>
      <c r="X54"/>
      <c r="BD54" s="10"/>
      <c r="BE54" s="10"/>
      <c r="BF54" s="10"/>
      <c r="BG54" s="10"/>
    </row>
    <row r="55" spans="22:59" ht="12.75">
      <c r="V55"/>
      <c r="W55"/>
      <c r="X55"/>
      <c r="BD55" s="10"/>
      <c r="BE55" s="10"/>
      <c r="BF55" s="10"/>
      <c r="BG55" s="10"/>
    </row>
    <row r="56" spans="22:59" ht="12.75">
      <c r="V56"/>
      <c r="W56"/>
      <c r="X56"/>
      <c r="BD56" s="10"/>
      <c r="BE56" s="10"/>
      <c r="BF56" s="10"/>
      <c r="BG56" s="10"/>
    </row>
    <row r="57" spans="22:59" ht="12.75">
      <c r="V57"/>
      <c r="W57"/>
      <c r="X57"/>
      <c r="BD57" s="10"/>
      <c r="BE57" s="10"/>
      <c r="BF57" s="10"/>
      <c r="BG57" s="10"/>
    </row>
    <row r="58" spans="22:59" ht="12.75">
      <c r="V58"/>
      <c r="W58"/>
      <c r="X58"/>
      <c r="BD58" s="10"/>
      <c r="BE58" s="10"/>
      <c r="BF58" s="10"/>
      <c r="BG58" s="10"/>
    </row>
    <row r="59" spans="22:59" ht="12.75">
      <c r="V59"/>
      <c r="W59"/>
      <c r="X59"/>
      <c r="BD59" s="10"/>
      <c r="BE59" s="10"/>
      <c r="BF59" s="10"/>
      <c r="BG59" s="10"/>
    </row>
    <row r="60" spans="22:59" ht="12.75">
      <c r="V60"/>
      <c r="W60"/>
      <c r="X60"/>
      <c r="BD60" s="10"/>
      <c r="BE60" s="10"/>
      <c r="BF60" s="10"/>
      <c r="BG60" s="10"/>
    </row>
    <row r="61" spans="22:59" ht="12.75">
      <c r="V61"/>
      <c r="W61"/>
      <c r="X61"/>
      <c r="BD61" s="10"/>
      <c r="BE61" s="10"/>
      <c r="BF61" s="10"/>
      <c r="BG61" s="10"/>
    </row>
    <row r="62" spans="22:59" ht="12.75">
      <c r="V62"/>
      <c r="W62"/>
      <c r="X62"/>
      <c r="BD62" s="10"/>
      <c r="BE62" s="10"/>
      <c r="BF62" s="10"/>
      <c r="BG62" s="10"/>
    </row>
    <row r="63" spans="22:59" ht="12.75">
      <c r="V63"/>
      <c r="W63"/>
      <c r="X63"/>
      <c r="BD63" s="10"/>
      <c r="BE63" s="10"/>
      <c r="BF63" s="10"/>
      <c r="BG63" s="10"/>
    </row>
    <row r="64" spans="22:59" ht="12.75">
      <c r="V64"/>
      <c r="W64"/>
      <c r="X64"/>
      <c r="BD64" s="10"/>
      <c r="BE64" s="10"/>
      <c r="BF64" s="10"/>
      <c r="BG64" s="10"/>
    </row>
    <row r="65" spans="56:59" ht="12.75">
      <c r="BD65" s="10"/>
      <c r="BE65" s="10"/>
      <c r="BF65" s="10"/>
      <c r="BG65" s="10"/>
    </row>
    <row r="66" spans="56:59" ht="12.75">
      <c r="BD66" s="10"/>
      <c r="BE66" s="10"/>
      <c r="BF66" s="10"/>
      <c r="BG66" s="10"/>
    </row>
  </sheetData>
  <sheetProtection selectLockedCells="1"/>
  <mergeCells count="331">
    <mergeCell ref="B10:D10"/>
    <mergeCell ref="AS10:AX10"/>
    <mergeCell ref="AS9:AW9"/>
    <mergeCell ref="Z9:AF9"/>
    <mergeCell ref="Z10:AF10"/>
    <mergeCell ref="P9:V9"/>
    <mergeCell ref="E9:L9"/>
    <mergeCell ref="E10:L10"/>
    <mergeCell ref="AJ10:AN10"/>
    <mergeCell ref="AP10:AR10"/>
    <mergeCell ref="B7:AX7"/>
    <mergeCell ref="B8:AX8"/>
    <mergeCell ref="AP9:AR9"/>
    <mergeCell ref="AG9:AI9"/>
    <mergeCell ref="W9:Y9"/>
    <mergeCell ref="M9:O9"/>
    <mergeCell ref="B9:D9"/>
    <mergeCell ref="AJ9:AO9"/>
    <mergeCell ref="B5:E5"/>
    <mergeCell ref="B6:AX6"/>
    <mergeCell ref="B1:AX1"/>
    <mergeCell ref="B4:AX4"/>
    <mergeCell ref="B2:AX2"/>
    <mergeCell ref="B3:AX3"/>
    <mergeCell ref="F5:T5"/>
    <mergeCell ref="U5:AX5"/>
    <mergeCell ref="AG10:AI10"/>
    <mergeCell ref="I23:K23"/>
    <mergeCell ref="L12:M14"/>
    <mergeCell ref="N12:O14"/>
    <mergeCell ref="V17:X17"/>
    <mergeCell ref="V18:X18"/>
    <mergeCell ref="V19:X19"/>
    <mergeCell ref="V20:X20"/>
    <mergeCell ref="P14:R14"/>
    <mergeCell ref="P12:AA12"/>
    <mergeCell ref="B12:D14"/>
    <mergeCell ref="E12:H14"/>
    <mergeCell ref="I12:K14"/>
    <mergeCell ref="B22:D22"/>
    <mergeCell ref="B15:D15"/>
    <mergeCell ref="B16:D16"/>
    <mergeCell ref="B17:D17"/>
    <mergeCell ref="B18:D18"/>
    <mergeCell ref="E19:H19"/>
    <mergeCell ref="I22:K22"/>
    <mergeCell ref="P15:R15"/>
    <mergeCell ref="W10:Y10"/>
    <mergeCell ref="P13:U13"/>
    <mergeCell ref="V13:AA13"/>
    <mergeCell ref="S14:U14"/>
    <mergeCell ref="V14:X14"/>
    <mergeCell ref="Y14:AA14"/>
    <mergeCell ref="P10:V10"/>
    <mergeCell ref="B11:AX11"/>
    <mergeCell ref="AB12:AC14"/>
    <mergeCell ref="AD17:AE17"/>
    <mergeCell ref="AD18:AE18"/>
    <mergeCell ref="AB18:AC18"/>
    <mergeCell ref="AL17:AN17"/>
    <mergeCell ref="AI18:AK18"/>
    <mergeCell ref="AL18:AN18"/>
    <mergeCell ref="AF18:AH18"/>
    <mergeCell ref="AB17:AC17"/>
    <mergeCell ref="AD12:AE14"/>
    <mergeCell ref="AD15:AE15"/>
    <mergeCell ref="AD16:AE16"/>
    <mergeCell ref="Z27:AC27"/>
    <mergeCell ref="AD27:AG27"/>
    <mergeCell ref="Y19:AA19"/>
    <mergeCell ref="Y20:AA20"/>
    <mergeCell ref="Y21:AA21"/>
    <mergeCell ref="AD19:AE19"/>
    <mergeCell ref="AD20:AE20"/>
    <mergeCell ref="F26:N26"/>
    <mergeCell ref="O26:Y26"/>
    <mergeCell ref="F27:H27"/>
    <mergeCell ref="I27:K27"/>
    <mergeCell ref="O27:R27"/>
    <mergeCell ref="S27:V27"/>
    <mergeCell ref="W27:Y27"/>
    <mergeCell ref="E21:H21"/>
    <mergeCell ref="B19:D19"/>
    <mergeCell ref="B20:D20"/>
    <mergeCell ref="B21:D21"/>
    <mergeCell ref="E16:H16"/>
    <mergeCell ref="E17:H17"/>
    <mergeCell ref="E18:H18"/>
    <mergeCell ref="E20:H20"/>
    <mergeCell ref="E22:H22"/>
    <mergeCell ref="E23:H23"/>
    <mergeCell ref="I15:K15"/>
    <mergeCell ref="I16:K16"/>
    <mergeCell ref="I17:K17"/>
    <mergeCell ref="I18:K18"/>
    <mergeCell ref="I19:K19"/>
    <mergeCell ref="I20:K20"/>
    <mergeCell ref="I21:K21"/>
    <mergeCell ref="E15:H15"/>
    <mergeCell ref="P16:R16"/>
    <mergeCell ref="P17:R17"/>
    <mergeCell ref="P18:R18"/>
    <mergeCell ref="P19:R19"/>
    <mergeCell ref="P20:R20"/>
    <mergeCell ref="P21:R21"/>
    <mergeCell ref="P22:R22"/>
    <mergeCell ref="P23:R23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V15:X15"/>
    <mergeCell ref="V16:X16"/>
    <mergeCell ref="V21:X21"/>
    <mergeCell ref="Y15:AA15"/>
    <mergeCell ref="Y16:AA16"/>
    <mergeCell ref="Y17:AA17"/>
    <mergeCell ref="Y18:AA18"/>
    <mergeCell ref="S19:U19"/>
    <mergeCell ref="S20:U20"/>
    <mergeCell ref="S21:U21"/>
    <mergeCell ref="S15:U15"/>
    <mergeCell ref="S16:U16"/>
    <mergeCell ref="S17:U17"/>
    <mergeCell ref="S18:U18"/>
    <mergeCell ref="AD21:AE21"/>
    <mergeCell ref="AB20:AC20"/>
    <mergeCell ref="AB21:AC21"/>
    <mergeCell ref="AB19:AC19"/>
    <mergeCell ref="AD22:AE22"/>
    <mergeCell ref="S22:U22"/>
    <mergeCell ref="S23:U23"/>
    <mergeCell ref="V22:X22"/>
    <mergeCell ref="V23:X23"/>
    <mergeCell ref="Y22:AA22"/>
    <mergeCell ref="Y23:AA23"/>
    <mergeCell ref="Z26:AJ26"/>
    <mergeCell ref="AI22:AK22"/>
    <mergeCell ref="B35:E35"/>
    <mergeCell ref="B36:E36"/>
    <mergeCell ref="AD23:AE23"/>
    <mergeCell ref="B28:E28"/>
    <mergeCell ref="W28:Y28"/>
    <mergeCell ref="L28:N28"/>
    <mergeCell ref="B23:D23"/>
    <mergeCell ref="L27:N27"/>
    <mergeCell ref="B34:E34"/>
    <mergeCell ref="B29:E29"/>
    <mergeCell ref="B30:E30"/>
    <mergeCell ref="B31:E31"/>
    <mergeCell ref="B32:E32"/>
    <mergeCell ref="B33:E33"/>
    <mergeCell ref="W36:Y36"/>
    <mergeCell ref="AD28:AG28"/>
    <mergeCell ref="AD33:AG33"/>
    <mergeCell ref="Z36:AC36"/>
    <mergeCell ref="Z33:AC33"/>
    <mergeCell ref="Z32:AC32"/>
    <mergeCell ref="Z29:AC29"/>
    <mergeCell ref="Z30:AC30"/>
    <mergeCell ref="W34:Y34"/>
    <mergeCell ref="Z34:AC34"/>
    <mergeCell ref="AD30:AG30"/>
    <mergeCell ref="AD31:AG31"/>
    <mergeCell ref="AD32:AG32"/>
    <mergeCell ref="Z31:AC31"/>
    <mergeCell ref="W35:Y35"/>
    <mergeCell ref="W29:Y29"/>
    <mergeCell ref="S28:V28"/>
    <mergeCell ref="S29:V29"/>
    <mergeCell ref="S30:V30"/>
    <mergeCell ref="S31:V31"/>
    <mergeCell ref="W33:Y33"/>
    <mergeCell ref="W32:Y32"/>
    <mergeCell ref="W30:Y30"/>
    <mergeCell ref="W31:Y31"/>
    <mergeCell ref="O32:R32"/>
    <mergeCell ref="O33:R33"/>
    <mergeCell ref="O34:R34"/>
    <mergeCell ref="S32:V32"/>
    <mergeCell ref="S33:V33"/>
    <mergeCell ref="S34:V34"/>
    <mergeCell ref="O28:R28"/>
    <mergeCell ref="O29:R29"/>
    <mergeCell ref="O30:R30"/>
    <mergeCell ref="O31:R31"/>
    <mergeCell ref="O35:R35"/>
    <mergeCell ref="O36:R36"/>
    <mergeCell ref="S35:V35"/>
    <mergeCell ref="S36:V36"/>
    <mergeCell ref="I34:K34"/>
    <mergeCell ref="L32:N32"/>
    <mergeCell ref="L35:N35"/>
    <mergeCell ref="L30:N30"/>
    <mergeCell ref="L31:N31"/>
    <mergeCell ref="L34:N34"/>
    <mergeCell ref="L33:N33"/>
    <mergeCell ref="I28:K28"/>
    <mergeCell ref="I29:K29"/>
    <mergeCell ref="I30:K30"/>
    <mergeCell ref="I31:K31"/>
    <mergeCell ref="F31:H31"/>
    <mergeCell ref="L29:N29"/>
    <mergeCell ref="F36:H36"/>
    <mergeCell ref="I35:K35"/>
    <mergeCell ref="I36:K36"/>
    <mergeCell ref="F34:H34"/>
    <mergeCell ref="F35:H35"/>
    <mergeCell ref="L36:N36"/>
    <mergeCell ref="I32:K32"/>
    <mergeCell ref="I33:K33"/>
    <mergeCell ref="B25:AJ25"/>
    <mergeCell ref="B26:E27"/>
    <mergeCell ref="F32:H32"/>
    <mergeCell ref="F33:H33"/>
    <mergeCell ref="AH27:AJ27"/>
    <mergeCell ref="AH28:AJ28"/>
    <mergeCell ref="AH29:AJ29"/>
    <mergeCell ref="F28:H28"/>
    <mergeCell ref="F29:H29"/>
    <mergeCell ref="F30:H30"/>
    <mergeCell ref="AH35:AJ35"/>
    <mergeCell ref="AH34:AJ34"/>
    <mergeCell ref="AH30:AJ30"/>
    <mergeCell ref="AH31:AJ31"/>
    <mergeCell ref="AH32:AJ32"/>
    <mergeCell ref="AH33:AJ33"/>
    <mergeCell ref="AH36:AJ36"/>
    <mergeCell ref="AB23:AC23"/>
    <mergeCell ref="Z28:AC28"/>
    <mergeCell ref="AB22:AC22"/>
    <mergeCell ref="AD29:AG29"/>
    <mergeCell ref="AD35:AG35"/>
    <mergeCell ref="AD36:AG36"/>
    <mergeCell ref="Z35:AC35"/>
    <mergeCell ref="AD34:AG34"/>
    <mergeCell ref="AF23:AH23"/>
    <mergeCell ref="AF12:AT12"/>
    <mergeCell ref="AF13:AT13"/>
    <mergeCell ref="AI14:AK14"/>
    <mergeCell ref="AR15:AT15"/>
    <mergeCell ref="AF14:AH14"/>
    <mergeCell ref="AL14:AN14"/>
    <mergeCell ref="AO18:AQ18"/>
    <mergeCell ref="AF16:AH16"/>
    <mergeCell ref="AF17:AH17"/>
    <mergeCell ref="AO15:AQ15"/>
    <mergeCell ref="AO16:AQ16"/>
    <mergeCell ref="AI16:AK16"/>
    <mergeCell ref="AI17:AK17"/>
    <mergeCell ref="AL23:AN23"/>
    <mergeCell ref="AO21:AQ21"/>
    <mergeCell ref="M10:O10"/>
    <mergeCell ref="AL15:AN15"/>
    <mergeCell ref="AL16:AN16"/>
    <mergeCell ref="AB15:AC15"/>
    <mergeCell ref="AB16:AC16"/>
    <mergeCell ref="AI15:AK15"/>
    <mergeCell ref="AO17:AQ17"/>
    <mergeCell ref="AF15:AH15"/>
    <mergeCell ref="AI21:AK21"/>
    <mergeCell ref="AL21:AN21"/>
    <mergeCell ref="AL22:AN22"/>
    <mergeCell ref="AO22:AQ22"/>
    <mergeCell ref="AF19:AH19"/>
    <mergeCell ref="AL19:AN19"/>
    <mergeCell ref="AL20:AN20"/>
    <mergeCell ref="AR20:AT20"/>
    <mergeCell ref="AF20:AH20"/>
    <mergeCell ref="AO19:AQ19"/>
    <mergeCell ref="AO20:AQ20"/>
    <mergeCell ref="AI19:AK19"/>
    <mergeCell ref="AI20:AK20"/>
    <mergeCell ref="AF21:AH21"/>
    <mergeCell ref="AF22:AH22"/>
    <mergeCell ref="AU15:AX15"/>
    <mergeCell ref="AR14:AT14"/>
    <mergeCell ref="AO14:AQ14"/>
    <mergeCell ref="AR17:AT17"/>
    <mergeCell ref="AU16:AX16"/>
    <mergeCell ref="AU17:AX17"/>
    <mergeCell ref="AU12:AX14"/>
    <mergeCell ref="AR16:AT16"/>
    <mergeCell ref="AR21:AT21"/>
    <mergeCell ref="AR19:AT19"/>
    <mergeCell ref="AR22:AT22"/>
    <mergeCell ref="AL33:AO33"/>
    <mergeCell ref="AL25:AX25"/>
    <mergeCell ref="AL26:AX26"/>
    <mergeCell ref="AP31:AS31"/>
    <mergeCell ref="AL32:AO32"/>
    <mergeCell ref="AT30:AX30"/>
    <mergeCell ref="AU22:AX22"/>
    <mergeCell ref="AU18:AX18"/>
    <mergeCell ref="AU19:AX19"/>
    <mergeCell ref="AU20:AX20"/>
    <mergeCell ref="AU21:AX21"/>
    <mergeCell ref="AR18:AT18"/>
    <mergeCell ref="AL36:AX36"/>
    <mergeCell ref="AT31:AX31"/>
    <mergeCell ref="AT32:AX32"/>
    <mergeCell ref="AT33:AX33"/>
    <mergeCell ref="AL34:AX34"/>
    <mergeCell ref="AL35:AX35"/>
    <mergeCell ref="AP32:AS32"/>
    <mergeCell ref="AP33:AS33"/>
    <mergeCell ref="AL31:AO31"/>
    <mergeCell ref="AP30:AS30"/>
    <mergeCell ref="AL29:AX29"/>
    <mergeCell ref="AR23:AT23"/>
    <mergeCell ref="AU23:AX23"/>
    <mergeCell ref="AL27:AX27"/>
    <mergeCell ref="AL28:AX28"/>
    <mergeCell ref="AL30:AO30"/>
    <mergeCell ref="B24:AX24"/>
    <mergeCell ref="AO23:AQ23"/>
    <mergeCell ref="AI23:AK23"/>
  </mergeCells>
  <conditionalFormatting sqref="AI15:AK23 AO15:AQ23">
    <cfRule type="expression" priority="1" dxfId="0" stopIfTrue="1">
      <formula>ABS(AL15)*1&lt;ABS(AI15)*1</formula>
    </cfRule>
    <cfRule type="cellIs" priority="2" dxfId="0" operator="notEqual" stopIfTrue="1">
      <formula>""</formula>
    </cfRule>
  </conditionalFormatting>
  <conditionalFormatting sqref="I15:K23">
    <cfRule type="expression" priority="3" dxfId="3" stopIfTrue="1">
      <formula>AND(I15="",OR(P15&lt;&gt;"",V15&lt;&gt;""))</formula>
    </cfRule>
  </conditionalFormatting>
  <conditionalFormatting sqref="AU15:AX23">
    <cfRule type="expression" priority="4" dxfId="4" stopIfTrue="1">
      <formula>$BI$19=0</formula>
    </cfRule>
    <cfRule type="expression" priority="5" dxfId="1" stopIfTrue="1">
      <formula>S15="路線を選択"</formula>
    </cfRule>
  </conditionalFormatting>
  <conditionalFormatting sqref="N15:O23">
    <cfRule type="expression" priority="6" dxfId="3" stopIfTrue="1">
      <formula>S15="辺数を入力"</formula>
    </cfRule>
  </conditionalFormatting>
  <conditionalFormatting sqref="P15:R23 V15:X23">
    <cfRule type="expression" priority="7" dxfId="0" stopIfTrue="1">
      <formula>ABS(S15)*1&lt;ABS(P15)*1</formula>
    </cfRule>
    <cfRule type="expression" priority="8" dxfId="5" stopIfTrue="1">
      <formula>AND(P15="",S15&lt;&gt;"")</formula>
    </cfRule>
  </conditionalFormatting>
  <conditionalFormatting sqref="F5">
    <cfRule type="cellIs" priority="9" dxfId="4" operator="equal" stopIfTrue="1">
      <formula>$BG$13</formula>
    </cfRule>
  </conditionalFormatting>
  <conditionalFormatting sqref="O28:V36 Z28:AG36">
    <cfRule type="expression" priority="10" dxfId="4" stopIfTrue="1">
      <formula>OR(LEFT(RIGHT(O28,3),1)&lt;&gt;"-",LEFT(RIGHT(O28,6),1)&lt;&gt;"-")</formula>
    </cfRule>
  </conditionalFormatting>
  <conditionalFormatting sqref="W28:Y36 AH28:AH36 AI28:AJ28">
    <cfRule type="cellIs" priority="11" dxfId="4" operator="equal" stopIfTrue="1">
      <formula>"書式エラー"</formula>
    </cfRule>
  </conditionalFormatting>
  <conditionalFormatting sqref="S15:U23 Y15:AA23">
    <cfRule type="expression" priority="12" dxfId="4" stopIfTrue="1">
      <formula>OR(S15=$BI$20,S15=$BI$23,S15=$BI$22,S15=$BI$21)</formula>
    </cfRule>
  </conditionalFormatting>
  <dataValidations count="3">
    <dataValidation type="list" allowBlank="1" showInputMessage="1" showErrorMessage="1" sqref="F5">
      <formula1>$BG$13:$BG$17</formula1>
    </dataValidation>
    <dataValidation type="list" allowBlank="1" showInputMessage="1" showErrorMessage="1" sqref="AU15:AX23">
      <formula1>IF($BI$19=0,$BI$18,$BG$20:$BG$23)</formula1>
    </dataValidation>
    <dataValidation allowBlank="1" showInputMessage="1" showErrorMessage="1" imeMode="off" sqref="O28:V36 Z28:AG36"/>
  </dataValidations>
  <printOptions horizontalCentered="1"/>
  <pageMargins left="0.3937007874015748" right="0.3937007874015748" top="0.984251968503937" bottom="0.1968503937007874" header="0.3937007874015748" footer="0.3937007874015748"/>
  <pageSetup blackAndWhite="1" fitToHeight="1" fitToWidth="1" horizontalDpi="600" verticalDpi="600" orientation="landscape" paperSize="9" r:id="rId3"/>
  <ignoredErrors>
    <ignoredError sqref="T30:V36 T28:V28 P28:R36 S30 O35:O36 S32 O32:O33" twoDigitTextYear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41"/>
  </sheetPr>
  <dimension ref="A1:CC57"/>
  <sheetViews>
    <sheetView showGridLines="0" showRowColHeaders="0" workbookViewId="0" topLeftCell="A1">
      <selection activeCell="A1" sqref="A1"/>
    </sheetView>
  </sheetViews>
  <sheetFormatPr defaultColWidth="8.625" defaultRowHeight="13.5"/>
  <cols>
    <col min="1" max="1" width="5.00390625" style="12" customWidth="1"/>
    <col min="2" max="25" width="2.625" style="12" customWidth="1"/>
    <col min="26" max="28" width="2.625" style="116" customWidth="1"/>
    <col min="29" max="54" width="2.625" style="12" customWidth="1"/>
    <col min="55" max="58" width="12.375" style="0" customWidth="1"/>
    <col min="59" max="59" width="12.375" style="115" hidden="1" customWidth="1"/>
    <col min="60" max="60" width="12.375" style="121" hidden="1" customWidth="1"/>
    <col min="61" max="61" width="12.375" style="12" customWidth="1"/>
    <col min="62" max="64" width="6.375" style="0" customWidth="1"/>
    <col min="65" max="65" width="9.00390625" style="0" customWidth="1"/>
    <col min="66" max="83" width="3.00390625" style="12" customWidth="1"/>
    <col min="84" max="16384" width="1.75390625" style="12" customWidth="1"/>
  </cols>
  <sheetData>
    <row r="1" spans="2:59" ht="21" customHeight="1"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AY1" s="471"/>
      <c r="AZ1" s="471"/>
      <c r="BA1" s="471"/>
      <c r="BB1" s="471"/>
      <c r="BG1" s="121"/>
    </row>
    <row r="2" spans="2:81" ht="24" customHeight="1">
      <c r="B2" s="488" t="s">
        <v>388</v>
      </c>
      <c r="C2" s="488"/>
      <c r="D2" s="488"/>
      <c r="E2" s="488"/>
      <c r="F2" s="475" t="s">
        <v>407</v>
      </c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G2" s="121"/>
      <c r="BI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</row>
    <row r="3" spans="2:59" ht="21" customHeight="1">
      <c r="B3" s="458" t="s">
        <v>44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AX3" s="458"/>
      <c r="AY3" s="458"/>
      <c r="AZ3" s="458"/>
      <c r="BA3" s="458"/>
      <c r="BB3" s="458"/>
      <c r="BG3" s="121"/>
    </row>
    <row r="4" spans="2:59" ht="21" customHeight="1" thickBot="1"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AY4" s="471"/>
      <c r="AZ4" s="471"/>
      <c r="BA4" s="471"/>
      <c r="BB4" s="471"/>
      <c r="BG4" s="121"/>
    </row>
    <row r="5" spans="2:59" ht="24" customHeight="1" thickBot="1">
      <c r="B5" s="602" t="s">
        <v>84</v>
      </c>
      <c r="C5" s="603"/>
      <c r="D5" s="603"/>
      <c r="E5" s="604"/>
      <c r="F5" s="472" t="s">
        <v>198</v>
      </c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4"/>
      <c r="U5" s="602" t="s">
        <v>194</v>
      </c>
      <c r="V5" s="603"/>
      <c r="W5" s="603"/>
      <c r="X5" s="603"/>
      <c r="Y5" s="603"/>
      <c r="Z5" s="603"/>
      <c r="AA5" s="603"/>
      <c r="AB5" s="603"/>
      <c r="AC5" s="603"/>
      <c r="AD5" s="604"/>
      <c r="AE5" s="472" t="s">
        <v>205</v>
      </c>
      <c r="AF5" s="473"/>
      <c r="AG5" s="473"/>
      <c r="AH5" s="473"/>
      <c r="AI5" s="473"/>
      <c r="AJ5" s="473"/>
      <c r="AK5" s="473"/>
      <c r="AL5" s="473"/>
      <c r="AM5" s="473"/>
      <c r="AN5" s="473"/>
      <c r="AO5" s="473"/>
      <c r="AP5" s="473"/>
      <c r="AQ5" s="473"/>
      <c r="AR5" s="473"/>
      <c r="AS5" s="473"/>
      <c r="AT5" s="474"/>
      <c r="AU5" s="606"/>
      <c r="AV5" s="471"/>
      <c r="AW5" s="471"/>
      <c r="AX5" s="471"/>
      <c r="AY5" s="471"/>
      <c r="AZ5" s="471"/>
      <c r="BA5" s="471"/>
      <c r="BB5" s="471"/>
      <c r="BG5" s="121"/>
    </row>
    <row r="6" spans="2:61" ht="21" customHeight="1"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G6" s="63"/>
      <c r="BH6" s="63"/>
      <c r="BI6" s="1"/>
    </row>
    <row r="7" spans="2:61" ht="30" customHeight="1">
      <c r="B7" s="728" t="str">
        <f>IF(F5&lt;&gt;BG19,F5&amp;" 精 度 管 理 表",F5)</f>
        <v>3 級 基 準 点 測 量 精 度 管 理 表</v>
      </c>
      <c r="C7" s="728"/>
      <c r="D7" s="728"/>
      <c r="E7" s="728"/>
      <c r="F7" s="728"/>
      <c r="G7" s="728"/>
      <c r="H7" s="728"/>
      <c r="I7" s="728"/>
      <c r="J7" s="728"/>
      <c r="K7" s="728"/>
      <c r="L7" s="728"/>
      <c r="M7" s="728"/>
      <c r="N7" s="728"/>
      <c r="O7" s="728"/>
      <c r="P7" s="728"/>
      <c r="Q7" s="728"/>
      <c r="R7" s="728"/>
      <c r="S7" s="728"/>
      <c r="T7" s="728"/>
      <c r="U7" s="728"/>
      <c r="V7" s="728"/>
      <c r="W7" s="728"/>
      <c r="X7" s="728"/>
      <c r="Y7" s="728"/>
      <c r="Z7" s="728"/>
      <c r="AA7" s="728"/>
      <c r="AB7" s="728"/>
      <c r="AC7" s="728"/>
      <c r="AD7" s="728"/>
      <c r="AE7" s="728"/>
      <c r="AF7" s="728"/>
      <c r="AG7" s="728"/>
      <c r="AH7" s="728"/>
      <c r="AI7" s="728"/>
      <c r="AJ7" s="728"/>
      <c r="AK7" s="728"/>
      <c r="AL7" s="728"/>
      <c r="AM7" s="728"/>
      <c r="AN7" s="728"/>
      <c r="AO7" s="728"/>
      <c r="AP7" s="728"/>
      <c r="AQ7" s="728"/>
      <c r="AR7" s="728"/>
      <c r="AS7" s="728"/>
      <c r="AT7" s="728"/>
      <c r="AU7" s="728"/>
      <c r="AV7" s="728"/>
      <c r="AW7" s="728"/>
      <c r="AX7" s="728"/>
      <c r="AY7" s="728"/>
      <c r="AZ7" s="728"/>
      <c r="BA7" s="728"/>
      <c r="BB7" s="728"/>
      <c r="BI7"/>
    </row>
    <row r="8" spans="2:61" ht="18.75" customHeight="1">
      <c r="B8" s="729" t="s">
        <v>110</v>
      </c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29"/>
      <c r="Y8" s="729"/>
      <c r="Z8" s="729"/>
      <c r="AA8" s="729"/>
      <c r="AB8" s="729"/>
      <c r="AC8" s="729"/>
      <c r="AD8" s="729"/>
      <c r="AE8" s="729"/>
      <c r="AF8" s="729"/>
      <c r="AG8" s="729"/>
      <c r="AH8" s="729"/>
      <c r="AI8" s="729"/>
      <c r="AJ8" s="729"/>
      <c r="AK8" s="729"/>
      <c r="AL8" s="729"/>
      <c r="AM8" s="729"/>
      <c r="AN8" s="729"/>
      <c r="AO8" s="729"/>
      <c r="AP8" s="729"/>
      <c r="AQ8" s="729"/>
      <c r="AR8" s="729"/>
      <c r="AS8" s="729"/>
      <c r="AT8" s="729"/>
      <c r="AU8" s="729"/>
      <c r="AV8" s="729"/>
      <c r="AW8" s="729"/>
      <c r="AX8" s="729"/>
      <c r="AY8" s="729"/>
      <c r="AZ8" s="729"/>
      <c r="BA8" s="729"/>
      <c r="BB8" s="729"/>
      <c r="BI8"/>
    </row>
    <row r="9" spans="1:66" s="114" customFormat="1" ht="30" customHeight="1">
      <c r="A9" s="32"/>
      <c r="B9" s="369" t="s">
        <v>45</v>
      </c>
      <c r="C9" s="370"/>
      <c r="D9" s="371"/>
      <c r="E9" s="508" t="str">
        <f>IF($BK$12=1,"",IF('業務情報'!$C$3="","",IF('業務情報'!$C$3="","",'業務情報'!$C$3)))</f>
        <v>平成２６年度
○○測量業務</v>
      </c>
      <c r="F9" s="509"/>
      <c r="G9" s="509"/>
      <c r="H9" s="509"/>
      <c r="I9" s="509"/>
      <c r="J9" s="509"/>
      <c r="K9" s="509"/>
      <c r="L9" s="510"/>
      <c r="M9" s="369" t="s">
        <v>145</v>
      </c>
      <c r="N9" s="370"/>
      <c r="O9" s="371"/>
      <c r="P9" s="507" t="str">
        <f>IF($BJ$12=1,"",IF('業務情報'!$C$6="","",'業務情報'!$C$6))</f>
        <v>○○市　○○地区</v>
      </c>
      <c r="Q9" s="496"/>
      <c r="R9" s="496"/>
      <c r="S9" s="496"/>
      <c r="T9" s="496"/>
      <c r="U9" s="496"/>
      <c r="V9" s="496"/>
      <c r="W9" s="497"/>
      <c r="X9" s="369" t="s">
        <v>126</v>
      </c>
      <c r="Y9" s="370"/>
      <c r="Z9" s="371"/>
      <c r="AA9" s="508" t="str">
        <f>IF($BJ$12=1,"",IF('業務情報'!$E$3="","",'業務情報'!$E$3))</f>
        <v>○○地方整備局
○○事務所</v>
      </c>
      <c r="AB9" s="509"/>
      <c r="AC9" s="509"/>
      <c r="AD9" s="509"/>
      <c r="AE9" s="509"/>
      <c r="AF9" s="509"/>
      <c r="AG9" s="510"/>
      <c r="AH9" s="369" t="s">
        <v>170</v>
      </c>
      <c r="AI9" s="370"/>
      <c r="AJ9" s="370"/>
      <c r="AK9" s="371"/>
      <c r="AL9" s="507" t="str">
        <f>IF($BJ$12=1,"",IF('業務情報'!$E$4="","",IF('業務情報'!$E$4="","",'業務情報'!$E$4)))</f>
        <v>（有）サーベイテック</v>
      </c>
      <c r="AM9" s="496"/>
      <c r="AN9" s="496"/>
      <c r="AO9" s="496"/>
      <c r="AP9" s="496"/>
      <c r="AQ9" s="496"/>
      <c r="AR9" s="496"/>
      <c r="AS9" s="369" t="s">
        <v>48</v>
      </c>
      <c r="AT9" s="370"/>
      <c r="AU9" s="371"/>
      <c r="AV9" s="660" t="str">
        <f>IF($BJ$12=1,"",IF('業務情報'!$G$4="","",'業務情報'!$G$4))</f>
        <v>曽木亜　説戸</v>
      </c>
      <c r="AW9" s="661"/>
      <c r="AX9" s="661"/>
      <c r="AY9" s="661"/>
      <c r="AZ9" s="661"/>
      <c r="BA9" s="661"/>
      <c r="BB9" s="142" t="s">
        <v>125</v>
      </c>
      <c r="BC9"/>
      <c r="BD9"/>
      <c r="BE9"/>
      <c r="BF9"/>
      <c r="BG9" s="159"/>
      <c r="BH9" s="159"/>
      <c r="BI9"/>
      <c r="BJ9"/>
      <c r="BK9"/>
      <c r="BL9"/>
      <c r="BM9"/>
      <c r="BN9"/>
    </row>
    <row r="10" spans="1:66" ht="30" customHeight="1">
      <c r="A10" s="16"/>
      <c r="B10" s="369" t="s">
        <v>88</v>
      </c>
      <c r="C10" s="370"/>
      <c r="D10" s="371"/>
      <c r="E10" s="507" t="str">
        <f>IF($BK$12=1,"",IF('業務情報'!$C$4="","",'業務情報'!$C$4))</f>
        <v>道路整備計画</v>
      </c>
      <c r="F10" s="496"/>
      <c r="G10" s="496"/>
      <c r="H10" s="496"/>
      <c r="I10" s="496"/>
      <c r="J10" s="496"/>
      <c r="K10" s="496"/>
      <c r="L10" s="497"/>
      <c r="M10" s="369" t="s">
        <v>146</v>
      </c>
      <c r="N10" s="370"/>
      <c r="O10" s="371"/>
      <c r="P10" s="508" t="str">
        <f>IF($BJ$12=1,"",IF('業務情報'!$E$5="","",'業務情報'!$E$5))</f>
        <v>自 平成26年10月10日
至 平成27年3月15日</v>
      </c>
      <c r="Q10" s="509"/>
      <c r="R10" s="509"/>
      <c r="S10" s="509"/>
      <c r="T10" s="509"/>
      <c r="U10" s="509"/>
      <c r="V10" s="509"/>
      <c r="W10" s="510"/>
      <c r="X10" s="369" t="s">
        <v>104</v>
      </c>
      <c r="Y10" s="370"/>
      <c r="Z10" s="371"/>
      <c r="AA10" s="662" t="s">
        <v>513</v>
      </c>
      <c r="AB10" s="663"/>
      <c r="AC10" s="663"/>
      <c r="AD10" s="663"/>
      <c r="AE10" s="663"/>
      <c r="AF10" s="663"/>
      <c r="AG10" s="664"/>
      <c r="AH10" s="369" t="s">
        <v>511</v>
      </c>
      <c r="AI10" s="370"/>
      <c r="AJ10" s="370"/>
      <c r="AK10" s="371"/>
      <c r="AL10" s="600" t="str">
        <f>IF($BJ$12=1,"",IF('業務情報'!$G$3="","",'業務情報'!$G$3))</f>
        <v>兎位瑠度　逓津宇</v>
      </c>
      <c r="AM10" s="600"/>
      <c r="AN10" s="600"/>
      <c r="AO10" s="600"/>
      <c r="AP10" s="600"/>
      <c r="AQ10" s="600"/>
      <c r="AR10" s="141" t="s">
        <v>125</v>
      </c>
      <c r="AS10" s="321" t="s">
        <v>52</v>
      </c>
      <c r="AT10" s="314"/>
      <c r="AU10" s="319"/>
      <c r="AV10" s="658"/>
      <c r="AW10" s="657"/>
      <c r="AX10" s="657"/>
      <c r="AY10" s="657"/>
      <c r="AZ10" s="657"/>
      <c r="BA10" s="657"/>
      <c r="BB10" s="659"/>
      <c r="BI10"/>
      <c r="BN10"/>
    </row>
    <row r="11" spans="1:61" ht="12" customHeight="1">
      <c r="A11"/>
      <c r="B11" s="665"/>
      <c r="C11" s="665"/>
      <c r="D11" s="665"/>
      <c r="E11" s="665"/>
      <c r="F11" s="665"/>
      <c r="G11" s="665"/>
      <c r="H11" s="665"/>
      <c r="I11" s="665"/>
      <c r="J11" s="665"/>
      <c r="K11" s="665"/>
      <c r="L11" s="665"/>
      <c r="M11" s="665"/>
      <c r="N11" s="665"/>
      <c r="O11" s="665"/>
      <c r="P11" s="665"/>
      <c r="Q11" s="665"/>
      <c r="R11" s="665"/>
      <c r="S11" s="665"/>
      <c r="T11" s="665"/>
      <c r="U11" s="665"/>
      <c r="V11" s="665"/>
      <c r="W11" s="665"/>
      <c r="X11" s="665"/>
      <c r="Y11" s="665"/>
      <c r="Z11" s="665"/>
      <c r="AA11" s="665"/>
      <c r="AB11" s="665"/>
      <c r="AC11" s="665"/>
      <c r="AD11" s="665"/>
      <c r="AE11" s="665"/>
      <c r="AF11" s="665"/>
      <c r="AG11" s="665"/>
      <c r="AH11" s="665"/>
      <c r="AI11" s="665"/>
      <c r="AJ11" s="665"/>
      <c r="AK11" s="665"/>
      <c r="AL11" s="665"/>
      <c r="AM11" s="665"/>
      <c r="AN11" s="665"/>
      <c r="AO11" s="665"/>
      <c r="AP11" s="665"/>
      <c r="AQ11" s="665"/>
      <c r="AR11" s="665"/>
      <c r="AS11" s="665"/>
      <c r="AT11" s="665"/>
      <c r="AU11" s="665"/>
      <c r="AV11" s="665"/>
      <c r="AW11" s="665"/>
      <c r="AX11" s="665"/>
      <c r="AY11" s="665"/>
      <c r="AZ11" s="665"/>
      <c r="BA11" s="665"/>
      <c r="BB11" s="665"/>
      <c r="BI11"/>
    </row>
    <row r="12" spans="1:65" s="16" customFormat="1" ht="18" customHeight="1">
      <c r="A12" s="15"/>
      <c r="B12" s="325" t="s">
        <v>444</v>
      </c>
      <c r="C12" s="326"/>
      <c r="D12" s="326"/>
      <c r="E12" s="326"/>
      <c r="F12" s="326"/>
      <c r="G12" s="326"/>
      <c r="H12" s="326"/>
      <c r="I12" s="326"/>
      <c r="J12" s="326"/>
      <c r="K12" s="326"/>
      <c r="L12" s="327"/>
      <c r="M12" s="325" t="s">
        <v>445</v>
      </c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6"/>
      <c r="AI12" s="326"/>
      <c r="AJ12" s="327"/>
      <c r="AK12" s="325" t="s">
        <v>446</v>
      </c>
      <c r="AL12" s="326"/>
      <c r="AM12" s="326"/>
      <c r="AN12" s="326"/>
      <c r="AO12" s="326"/>
      <c r="AP12" s="326"/>
      <c r="AQ12" s="326"/>
      <c r="AR12" s="327"/>
      <c r="AS12" s="666"/>
      <c r="AT12" s="325" t="s">
        <v>96</v>
      </c>
      <c r="AU12" s="326"/>
      <c r="AV12" s="326"/>
      <c r="AW12" s="326"/>
      <c r="AX12" s="326"/>
      <c r="AY12" s="326"/>
      <c r="AZ12" s="326"/>
      <c r="BA12" s="326"/>
      <c r="BB12" s="327"/>
      <c r="BC12"/>
      <c r="BD12"/>
      <c r="BE12"/>
      <c r="BF12"/>
      <c r="BG12" s="121"/>
      <c r="BH12" s="121"/>
      <c r="BI12"/>
      <c r="BJ12"/>
      <c r="BK12"/>
      <c r="BL12"/>
      <c r="BM12"/>
    </row>
    <row r="13" spans="1:65" s="16" customFormat="1" ht="18" customHeight="1">
      <c r="A13" s="15"/>
      <c r="B13" s="325" t="s">
        <v>442</v>
      </c>
      <c r="C13" s="326"/>
      <c r="D13" s="326"/>
      <c r="E13" s="326"/>
      <c r="F13" s="326"/>
      <c r="G13" s="326"/>
      <c r="H13" s="326"/>
      <c r="I13" s="327"/>
      <c r="J13" s="558" t="s">
        <v>443</v>
      </c>
      <c r="K13" s="754"/>
      <c r="L13" s="755"/>
      <c r="M13" s="325" t="str">
        <f>IF(AE5="基線ベクトルの各成分 (ΔX,ΔY,ΔZ)","Δ X","方 位 角")</f>
        <v>Δ X</v>
      </c>
      <c r="N13" s="326"/>
      <c r="O13" s="326"/>
      <c r="P13" s="326"/>
      <c r="Q13" s="326"/>
      <c r="R13" s="326"/>
      <c r="S13" s="326"/>
      <c r="T13" s="327"/>
      <c r="U13" s="325" t="str">
        <f>IF(AE5="基線ベクトルの各成分 (ΔX,ΔY,ΔZ)","Δ Y","斜 距 離")</f>
        <v>Δ Y</v>
      </c>
      <c r="V13" s="326"/>
      <c r="W13" s="326"/>
      <c r="X13" s="326"/>
      <c r="Y13" s="326"/>
      <c r="Z13" s="326"/>
      <c r="AA13" s="326"/>
      <c r="AB13" s="327"/>
      <c r="AC13" s="325" t="str">
        <f>IF(AE5="基線ベクトルの各成分 (ΔX,ΔY,ΔZ)","Δ Z","楕 円 体 比 高")</f>
        <v>Δ Z</v>
      </c>
      <c r="AD13" s="326"/>
      <c r="AE13" s="326"/>
      <c r="AF13" s="326"/>
      <c r="AG13" s="326"/>
      <c r="AH13" s="326"/>
      <c r="AI13" s="326"/>
      <c r="AJ13" s="327"/>
      <c r="AK13" s="325" t="s">
        <v>487</v>
      </c>
      <c r="AL13" s="326"/>
      <c r="AM13" s="326"/>
      <c r="AN13" s="326"/>
      <c r="AO13" s="326"/>
      <c r="AP13" s="326"/>
      <c r="AQ13" s="326"/>
      <c r="AR13" s="327"/>
      <c r="AS13" s="666"/>
      <c r="AT13" s="722" t="str">
        <f>IF('業務情報'!C9="","",'業務情報'!C9)</f>
        <v>Trimble4000SE No.206265</v>
      </c>
      <c r="AU13" s="723"/>
      <c r="AV13" s="723"/>
      <c r="AW13" s="723"/>
      <c r="AX13" s="723"/>
      <c r="AY13" s="723"/>
      <c r="AZ13" s="723"/>
      <c r="BA13" s="723"/>
      <c r="BB13" s="724"/>
      <c r="BC13"/>
      <c r="BD13"/>
      <c r="BE13"/>
      <c r="BF13"/>
      <c r="BG13" s="111">
        <f>IF(F5=BG19,0,IF(F5=BG20,1,IF(F5=BG21,2,IF(F5=BG22,3,4))))</f>
        <v>3</v>
      </c>
      <c r="BH13" s="63" t="s">
        <v>203</v>
      </c>
      <c r="BI13" s="1"/>
      <c r="BJ13"/>
      <c r="BK13"/>
      <c r="BL13"/>
      <c r="BM13"/>
    </row>
    <row r="14" spans="1:61" ht="18" customHeight="1">
      <c r="A14" s="15"/>
      <c r="B14" s="730" t="s">
        <v>188</v>
      </c>
      <c r="C14" s="731"/>
      <c r="D14" s="731"/>
      <c r="E14" s="732"/>
      <c r="F14" s="730" t="s">
        <v>189</v>
      </c>
      <c r="G14" s="731"/>
      <c r="H14" s="731"/>
      <c r="I14" s="732"/>
      <c r="J14" s="756"/>
      <c r="K14" s="757"/>
      <c r="L14" s="758"/>
      <c r="M14" s="325" t="s">
        <v>485</v>
      </c>
      <c r="N14" s="326"/>
      <c r="O14" s="326"/>
      <c r="P14" s="327"/>
      <c r="Q14" s="325" t="s">
        <v>173</v>
      </c>
      <c r="R14" s="326"/>
      <c r="S14" s="326"/>
      <c r="T14" s="327"/>
      <c r="U14" s="325" t="s">
        <v>485</v>
      </c>
      <c r="V14" s="326"/>
      <c r="W14" s="326"/>
      <c r="X14" s="327"/>
      <c r="Y14" s="325" t="s">
        <v>173</v>
      </c>
      <c r="Z14" s="326"/>
      <c r="AA14" s="326"/>
      <c r="AB14" s="327"/>
      <c r="AC14" s="325" t="s">
        <v>485</v>
      </c>
      <c r="AD14" s="326"/>
      <c r="AE14" s="326"/>
      <c r="AF14" s="327"/>
      <c r="AG14" s="325" t="s">
        <v>173</v>
      </c>
      <c r="AH14" s="326"/>
      <c r="AI14" s="326"/>
      <c r="AJ14" s="327"/>
      <c r="AK14" s="325" t="s">
        <v>486</v>
      </c>
      <c r="AL14" s="326"/>
      <c r="AM14" s="326"/>
      <c r="AN14" s="327"/>
      <c r="AO14" s="325" t="s">
        <v>173</v>
      </c>
      <c r="AP14" s="326"/>
      <c r="AQ14" s="326"/>
      <c r="AR14" s="327"/>
      <c r="AS14" s="666"/>
      <c r="AT14" s="722" t="str">
        <f>IF('業務情報'!C10="","",'業務情報'!C10)</f>
        <v>Trimble4000SE No.31415927</v>
      </c>
      <c r="AU14" s="723"/>
      <c r="AV14" s="723"/>
      <c r="AW14" s="723"/>
      <c r="AX14" s="723"/>
      <c r="AY14" s="723"/>
      <c r="AZ14" s="723"/>
      <c r="BA14" s="723"/>
      <c r="BB14" s="724"/>
      <c r="BG14" s="63"/>
      <c r="BH14" s="63" t="s">
        <v>205</v>
      </c>
      <c r="BI14" s="1"/>
    </row>
    <row r="15" spans="1:61" ht="15" customHeight="1">
      <c r="A15" s="15"/>
      <c r="B15" s="743"/>
      <c r="C15" s="744"/>
      <c r="D15" s="744"/>
      <c r="E15" s="745"/>
      <c r="F15" s="743"/>
      <c r="G15" s="744"/>
      <c r="H15" s="744"/>
      <c r="I15" s="745"/>
      <c r="J15" s="682" t="s">
        <v>484</v>
      </c>
      <c r="K15" s="683"/>
      <c r="L15" s="684"/>
      <c r="M15" s="679" t="str">
        <f>IF($BG$13=0,"",IF($BG$15=1,"m",""""))</f>
        <v>m</v>
      </c>
      <c r="N15" s="680"/>
      <c r="O15" s="680"/>
      <c r="P15" s="681"/>
      <c r="Q15" s="679" t="str">
        <f>IF($BG$13=0,"",IF($BG$15=1,"m",""""))</f>
        <v>m</v>
      </c>
      <c r="R15" s="680"/>
      <c r="S15" s="680"/>
      <c r="T15" s="681"/>
      <c r="U15" s="682" t="s">
        <v>301</v>
      </c>
      <c r="V15" s="683"/>
      <c r="W15" s="683"/>
      <c r="X15" s="684"/>
      <c r="Y15" s="685" t="s">
        <v>301</v>
      </c>
      <c r="Z15" s="686"/>
      <c r="AA15" s="686"/>
      <c r="AB15" s="687"/>
      <c r="AC15" s="682" t="s">
        <v>301</v>
      </c>
      <c r="AD15" s="683"/>
      <c r="AE15" s="683"/>
      <c r="AF15" s="684"/>
      <c r="AG15" s="685" t="s">
        <v>301</v>
      </c>
      <c r="AH15" s="686"/>
      <c r="AI15" s="686"/>
      <c r="AJ15" s="687"/>
      <c r="AK15" s="682" t="s">
        <v>30</v>
      </c>
      <c r="AL15" s="683"/>
      <c r="AM15" s="683"/>
      <c r="AN15" s="684"/>
      <c r="AO15" s="685" t="s">
        <v>301</v>
      </c>
      <c r="AP15" s="686"/>
      <c r="AQ15" s="686"/>
      <c r="AR15" s="687"/>
      <c r="AS15" s="666"/>
      <c r="AT15" s="722" t="str">
        <f>IF('業務情報'!C11="","",'業務情報'!C11)</f>
        <v>Trimble4000SE No.6378137</v>
      </c>
      <c r="AU15" s="723"/>
      <c r="AV15" s="723"/>
      <c r="AW15" s="723"/>
      <c r="AX15" s="723"/>
      <c r="AY15" s="723"/>
      <c r="AZ15" s="723"/>
      <c r="BA15" s="723"/>
      <c r="BB15" s="724"/>
      <c r="BG15" s="63">
        <f>IF(AE5=BH13,0,IF(AE5=BH14,1,2))</f>
        <v>1</v>
      </c>
      <c r="BH15" s="63" t="s">
        <v>195</v>
      </c>
      <c r="BI15" s="1"/>
    </row>
    <row r="16" spans="1:61" ht="17.25" customHeight="1">
      <c r="A16" s="15"/>
      <c r="B16" s="748">
        <v>401</v>
      </c>
      <c r="C16" s="749"/>
      <c r="D16" s="749"/>
      <c r="E16" s="750"/>
      <c r="F16" s="748">
        <v>403</v>
      </c>
      <c r="G16" s="749"/>
      <c r="H16" s="749"/>
      <c r="I16" s="750"/>
      <c r="J16" s="676">
        <v>0.617251</v>
      </c>
      <c r="K16" s="677"/>
      <c r="L16" s="678"/>
      <c r="M16" s="667">
        <v>0.003</v>
      </c>
      <c r="N16" s="668"/>
      <c r="O16" s="668"/>
      <c r="P16" s="669"/>
      <c r="Q16" s="670" t="str">
        <f>IF(OR(M16="",J16=""),"",IF($BG$13=0,"等級を選択",IF($BG$15=0,"値を選択",IF($BG$15=1,TEXT(0.02,"0.000"),INDEX($BH$20:$BH$23,$BG$13)))))</f>
        <v>0.020</v>
      </c>
      <c r="R16" s="671"/>
      <c r="S16" s="671"/>
      <c r="T16" s="672"/>
      <c r="U16" s="667">
        <v>0.002</v>
      </c>
      <c r="V16" s="668"/>
      <c r="W16" s="668"/>
      <c r="X16" s="669"/>
      <c r="Y16" s="673" t="str">
        <f>IF(OR(J16="",U16=""),"",IF($BG$13=0,"等級を選択",IF($BG$15=0,"値を選択",IF($BG$15=1,TEXT(0.02,"0.000"),ROUNDDOWN(0.02+4*10^-6*J16,3)))))</f>
        <v>0.020</v>
      </c>
      <c r="Z16" s="674"/>
      <c r="AA16" s="674"/>
      <c r="AB16" s="675"/>
      <c r="AC16" s="667">
        <v>0.001</v>
      </c>
      <c r="AD16" s="668"/>
      <c r="AE16" s="668"/>
      <c r="AF16" s="669"/>
      <c r="AG16" s="673" t="str">
        <f>IF(OR(AC16="",J16=""),"",IF($BG$13=0,"等級を選択",IF($BG$15=0,"値を選択",IF($BG$15=1,TEXT(0.02,"0.000"),ROUNDDOWN(0.03+4*10^-6*J16,3)))))</f>
        <v>0.020</v>
      </c>
      <c r="AH16" s="674"/>
      <c r="AI16" s="674"/>
      <c r="AJ16" s="675"/>
      <c r="AK16" s="667">
        <v>0.2</v>
      </c>
      <c r="AL16" s="668"/>
      <c r="AM16" s="668"/>
      <c r="AN16" s="669"/>
      <c r="AO16" s="725">
        <f>IF(OR(AK16="",J16=""),"",IF($BG$13=0,"等級を選択",IF($BG$13=0,"",IF($BG$13=1,TEXT(0.08,"0.000"),IF($BG$13=2,TEXT(0.1,"0.000"),"")))))</f>
      </c>
      <c r="AP16" s="726"/>
      <c r="AQ16" s="726"/>
      <c r="AR16" s="727"/>
      <c r="AS16" s="666"/>
      <c r="AT16" s="722" t="str">
        <f>IF('業務情報'!C12="","",'業務情報'!C12)</f>
        <v>Trimble TRM16741.00 No.206265</v>
      </c>
      <c r="AU16" s="723"/>
      <c r="AV16" s="723"/>
      <c r="AW16" s="723"/>
      <c r="AX16" s="723"/>
      <c r="AY16" s="723"/>
      <c r="AZ16" s="723"/>
      <c r="BA16" s="723"/>
      <c r="BB16" s="724"/>
      <c r="BG16" s="121"/>
      <c r="BI16"/>
    </row>
    <row r="17" spans="1:61" ht="17.25" customHeight="1">
      <c r="A17" s="15"/>
      <c r="B17" s="748">
        <v>402</v>
      </c>
      <c r="C17" s="749"/>
      <c r="D17" s="749"/>
      <c r="E17" s="750"/>
      <c r="F17" s="748">
        <v>401</v>
      </c>
      <c r="G17" s="749"/>
      <c r="H17" s="749"/>
      <c r="I17" s="750"/>
      <c r="J17" s="676">
        <v>0.123993</v>
      </c>
      <c r="K17" s="677"/>
      <c r="L17" s="678"/>
      <c r="M17" s="667">
        <v>0.003</v>
      </c>
      <c r="N17" s="668"/>
      <c r="O17" s="668"/>
      <c r="P17" s="669"/>
      <c r="Q17" s="670" t="str">
        <f aca="true" t="shared" si="0" ref="Q17:Q24">IF(OR(M17="",J17=""),"",IF($BG$13=0,"等級を選択",IF($BG$15=0,"値を選択",IF($BG$15=1,TEXT(0.02,"0.000"),INDEX($BH$20:$BH$23,$BG$13)))))</f>
        <v>0.020</v>
      </c>
      <c r="R17" s="671"/>
      <c r="S17" s="671"/>
      <c r="T17" s="672"/>
      <c r="U17" s="667">
        <v>0.003</v>
      </c>
      <c r="V17" s="668"/>
      <c r="W17" s="668"/>
      <c r="X17" s="669"/>
      <c r="Y17" s="673" t="str">
        <f aca="true" t="shared" si="1" ref="Y17:Y24">IF(OR(J17="",U17=""),"",IF($BG$13=0,"等級を選択",IF($BG$15=0,"値を選択",IF($BG$15=1,TEXT(0.02,"0.000"),ROUNDDOWN(0.02+4*10^-6*J17,3)))))</f>
        <v>0.020</v>
      </c>
      <c r="Z17" s="674"/>
      <c r="AA17" s="674"/>
      <c r="AB17" s="675"/>
      <c r="AC17" s="667">
        <v>0.001</v>
      </c>
      <c r="AD17" s="668"/>
      <c r="AE17" s="668"/>
      <c r="AF17" s="669"/>
      <c r="AG17" s="673" t="str">
        <f aca="true" t="shared" si="2" ref="AG17:AG24">IF(OR(AC17="",J17=""),"",IF($BG$13=0,"等級を選択",IF($BG$15=0,"値を選択",IF($BG$15=1,TEXT(0.02,"0.000"),ROUNDDOWN(0.03+4*10^-6*J17,3)))))</f>
        <v>0.020</v>
      </c>
      <c r="AH17" s="674"/>
      <c r="AI17" s="674"/>
      <c r="AJ17" s="675"/>
      <c r="AK17" s="667">
        <v>0.2</v>
      </c>
      <c r="AL17" s="668"/>
      <c r="AM17" s="668"/>
      <c r="AN17" s="669"/>
      <c r="AO17" s="725">
        <f aca="true" t="shared" si="3" ref="AO17:AO24">IF(OR(AK17="",J17=""),"",IF($BG$13=0,"等級を選択",IF($BG$13=0,"",IF($BG$13=1,TEXT(0.08,"0.000"),IF($BG$13=2,TEXT(0.1,"0.000"),"")))))</f>
      </c>
      <c r="AP17" s="726"/>
      <c r="AQ17" s="726"/>
      <c r="AR17" s="727"/>
      <c r="AS17" s="666"/>
      <c r="AT17" s="722" t="str">
        <f>IF('業務情報'!C13="","",'業務情報'!C13)</f>
        <v>Trimble TRM16741.00 No.31415927</v>
      </c>
      <c r="AU17" s="723"/>
      <c r="AV17" s="723"/>
      <c r="AW17" s="723"/>
      <c r="AX17" s="723"/>
      <c r="AY17" s="723"/>
      <c r="AZ17" s="723"/>
      <c r="BA17" s="723"/>
      <c r="BB17" s="724"/>
      <c r="BG17" s="121"/>
      <c r="BI17"/>
    </row>
    <row r="18" spans="1:61" ht="17.25" customHeight="1">
      <c r="A18" s="15"/>
      <c r="B18" s="748">
        <v>404</v>
      </c>
      <c r="C18" s="749"/>
      <c r="D18" s="749"/>
      <c r="E18" s="750"/>
      <c r="F18" s="748">
        <v>403</v>
      </c>
      <c r="G18" s="749"/>
      <c r="H18" s="749"/>
      <c r="I18" s="750"/>
      <c r="J18" s="676">
        <v>0.120297</v>
      </c>
      <c r="K18" s="677"/>
      <c r="L18" s="678"/>
      <c r="M18" s="667">
        <v>-0.007</v>
      </c>
      <c r="N18" s="668"/>
      <c r="O18" s="668"/>
      <c r="P18" s="669"/>
      <c r="Q18" s="670" t="str">
        <f t="shared" si="0"/>
        <v>0.020</v>
      </c>
      <c r="R18" s="671"/>
      <c r="S18" s="671"/>
      <c r="T18" s="672"/>
      <c r="U18" s="667">
        <v>-0.004</v>
      </c>
      <c r="V18" s="668"/>
      <c r="W18" s="668"/>
      <c r="X18" s="669"/>
      <c r="Y18" s="673" t="str">
        <f t="shared" si="1"/>
        <v>0.020</v>
      </c>
      <c r="Z18" s="674"/>
      <c r="AA18" s="674"/>
      <c r="AB18" s="675"/>
      <c r="AC18" s="667">
        <v>0.006</v>
      </c>
      <c r="AD18" s="668"/>
      <c r="AE18" s="668"/>
      <c r="AF18" s="669"/>
      <c r="AG18" s="673" t="str">
        <f t="shared" si="2"/>
        <v>0.020</v>
      </c>
      <c r="AH18" s="674"/>
      <c r="AI18" s="674"/>
      <c r="AJ18" s="675"/>
      <c r="AK18" s="667">
        <v>0.2</v>
      </c>
      <c r="AL18" s="668"/>
      <c r="AM18" s="668"/>
      <c r="AN18" s="669"/>
      <c r="AO18" s="725">
        <f t="shared" si="3"/>
      </c>
      <c r="AP18" s="726"/>
      <c r="AQ18" s="726"/>
      <c r="AR18" s="727"/>
      <c r="AS18" s="666"/>
      <c r="AT18" s="722" t="str">
        <f>IF('業務情報'!C14="","",'業務情報'!C14)</f>
        <v>Trimble TRM16741.00 No.6378137</v>
      </c>
      <c r="AU18" s="723"/>
      <c r="AV18" s="723"/>
      <c r="AW18" s="723"/>
      <c r="AX18" s="723"/>
      <c r="AY18" s="723"/>
      <c r="AZ18" s="723"/>
      <c r="BA18" s="723"/>
      <c r="BB18" s="724"/>
      <c r="BG18" s="121"/>
      <c r="BI18"/>
    </row>
    <row r="19" spans="1:61" ht="17.25" customHeight="1">
      <c r="A19" s="15"/>
      <c r="B19" s="748">
        <v>405</v>
      </c>
      <c r="C19" s="749"/>
      <c r="D19" s="749"/>
      <c r="E19" s="750"/>
      <c r="F19" s="748">
        <v>403</v>
      </c>
      <c r="G19" s="749"/>
      <c r="H19" s="749"/>
      <c r="I19" s="750"/>
      <c r="J19" s="676">
        <v>0.646157</v>
      </c>
      <c r="K19" s="677"/>
      <c r="L19" s="678"/>
      <c r="M19" s="667">
        <v>0.005</v>
      </c>
      <c r="N19" s="668"/>
      <c r="O19" s="668"/>
      <c r="P19" s="669"/>
      <c r="Q19" s="670" t="str">
        <f t="shared" si="0"/>
        <v>0.020</v>
      </c>
      <c r="R19" s="671"/>
      <c r="S19" s="671"/>
      <c r="T19" s="672"/>
      <c r="U19" s="667">
        <v>0.001</v>
      </c>
      <c r="V19" s="668"/>
      <c r="W19" s="668"/>
      <c r="X19" s="669"/>
      <c r="Y19" s="673" t="str">
        <f t="shared" si="1"/>
        <v>0.020</v>
      </c>
      <c r="Z19" s="674"/>
      <c r="AA19" s="674"/>
      <c r="AB19" s="675"/>
      <c r="AC19" s="667">
        <v>-0.007</v>
      </c>
      <c r="AD19" s="668"/>
      <c r="AE19" s="668"/>
      <c r="AF19" s="669"/>
      <c r="AG19" s="673" t="str">
        <f t="shared" si="2"/>
        <v>0.020</v>
      </c>
      <c r="AH19" s="674"/>
      <c r="AI19" s="674"/>
      <c r="AJ19" s="675"/>
      <c r="AK19" s="667">
        <v>0.2</v>
      </c>
      <c r="AL19" s="668"/>
      <c r="AM19" s="668"/>
      <c r="AN19" s="669"/>
      <c r="AO19" s="725">
        <f t="shared" si="3"/>
      </c>
      <c r="AP19" s="726"/>
      <c r="AQ19" s="726"/>
      <c r="AR19" s="727"/>
      <c r="AS19" s="666"/>
      <c r="AT19" s="733"/>
      <c r="AU19" s="734"/>
      <c r="AV19" s="734"/>
      <c r="AW19" s="734"/>
      <c r="AX19" s="734"/>
      <c r="AY19" s="734"/>
      <c r="AZ19" s="734"/>
      <c r="BA19" s="734"/>
      <c r="BB19" s="735"/>
      <c r="BG19" s="118" t="s">
        <v>122</v>
      </c>
      <c r="BH19" s="160"/>
      <c r="BI19"/>
    </row>
    <row r="20" spans="1:66" ht="17.25" customHeight="1">
      <c r="A20" s="15"/>
      <c r="B20" s="748" t="s">
        <v>625</v>
      </c>
      <c r="C20" s="749"/>
      <c r="D20" s="749"/>
      <c r="E20" s="750"/>
      <c r="F20" s="748">
        <v>404</v>
      </c>
      <c r="G20" s="749"/>
      <c r="H20" s="749"/>
      <c r="I20" s="750"/>
      <c r="J20" s="676">
        <v>0.835535</v>
      </c>
      <c r="K20" s="677"/>
      <c r="L20" s="678"/>
      <c r="M20" s="667">
        <v>-0.008</v>
      </c>
      <c r="N20" s="668"/>
      <c r="O20" s="668"/>
      <c r="P20" s="669"/>
      <c r="Q20" s="670" t="str">
        <f t="shared" si="0"/>
        <v>0.020</v>
      </c>
      <c r="R20" s="671"/>
      <c r="S20" s="671"/>
      <c r="T20" s="672"/>
      <c r="U20" s="667">
        <v>-0.004</v>
      </c>
      <c r="V20" s="668"/>
      <c r="W20" s="668"/>
      <c r="X20" s="669"/>
      <c r="Y20" s="673" t="str">
        <f t="shared" si="1"/>
        <v>0.020</v>
      </c>
      <c r="Z20" s="674"/>
      <c r="AA20" s="674"/>
      <c r="AB20" s="675"/>
      <c r="AC20" s="667">
        <v>0.008</v>
      </c>
      <c r="AD20" s="668"/>
      <c r="AE20" s="668"/>
      <c r="AF20" s="669"/>
      <c r="AG20" s="673" t="str">
        <f t="shared" si="2"/>
        <v>0.020</v>
      </c>
      <c r="AH20" s="674"/>
      <c r="AI20" s="674"/>
      <c r="AJ20" s="675"/>
      <c r="AK20" s="667">
        <v>0.2</v>
      </c>
      <c r="AL20" s="668"/>
      <c r="AM20" s="668"/>
      <c r="AN20" s="669"/>
      <c r="AO20" s="725">
        <f t="shared" si="3"/>
      </c>
      <c r="AP20" s="726"/>
      <c r="AQ20" s="726"/>
      <c r="AR20" s="727"/>
      <c r="AS20" s="666"/>
      <c r="AT20" s="421" t="s">
        <v>458</v>
      </c>
      <c r="AU20" s="422"/>
      <c r="AV20" s="422"/>
      <c r="AW20" s="422"/>
      <c r="AX20" s="422"/>
      <c r="AY20" s="422"/>
      <c r="AZ20" s="422"/>
      <c r="BA20" s="422"/>
      <c r="BB20" s="423"/>
      <c r="BG20" s="119" t="s">
        <v>196</v>
      </c>
      <c r="BH20" s="161">
        <v>5</v>
      </c>
      <c r="BI20"/>
      <c r="BN20"/>
    </row>
    <row r="21" spans="1:66" ht="17.25" customHeight="1">
      <c r="A21" s="15"/>
      <c r="B21" s="748" t="s">
        <v>625</v>
      </c>
      <c r="C21" s="749"/>
      <c r="D21" s="749"/>
      <c r="E21" s="750"/>
      <c r="F21" s="748" t="s">
        <v>627</v>
      </c>
      <c r="G21" s="749"/>
      <c r="H21" s="749"/>
      <c r="I21" s="750"/>
      <c r="J21" s="676">
        <v>1.107648</v>
      </c>
      <c r="K21" s="677"/>
      <c r="L21" s="678"/>
      <c r="M21" s="667">
        <v>0.003</v>
      </c>
      <c r="N21" s="668"/>
      <c r="O21" s="668"/>
      <c r="P21" s="669"/>
      <c r="Q21" s="670" t="str">
        <f t="shared" si="0"/>
        <v>0.020</v>
      </c>
      <c r="R21" s="671"/>
      <c r="S21" s="671"/>
      <c r="T21" s="672"/>
      <c r="U21" s="667">
        <v>0</v>
      </c>
      <c r="V21" s="668"/>
      <c r="W21" s="668"/>
      <c r="X21" s="669"/>
      <c r="Y21" s="673" t="str">
        <f t="shared" si="1"/>
        <v>0.020</v>
      </c>
      <c r="Z21" s="674"/>
      <c r="AA21" s="674"/>
      <c r="AB21" s="675"/>
      <c r="AC21" s="667">
        <v>0</v>
      </c>
      <c r="AD21" s="668"/>
      <c r="AE21" s="668"/>
      <c r="AF21" s="669"/>
      <c r="AG21" s="673" t="str">
        <f t="shared" si="2"/>
        <v>0.020</v>
      </c>
      <c r="AH21" s="674"/>
      <c r="AI21" s="674"/>
      <c r="AJ21" s="675"/>
      <c r="AK21" s="667">
        <v>0.2</v>
      </c>
      <c r="AL21" s="668"/>
      <c r="AM21" s="668"/>
      <c r="AN21" s="669"/>
      <c r="AO21" s="725">
        <f t="shared" si="3"/>
      </c>
      <c r="AP21" s="726"/>
      <c r="AQ21" s="726"/>
      <c r="AR21" s="727"/>
      <c r="AS21" s="666"/>
      <c r="AT21" s="325" t="s">
        <v>433</v>
      </c>
      <c r="AU21" s="326"/>
      <c r="AV21" s="327"/>
      <c r="AW21" s="325" t="s">
        <v>456</v>
      </c>
      <c r="AX21" s="326"/>
      <c r="AY21" s="327"/>
      <c r="AZ21" s="325" t="s">
        <v>178</v>
      </c>
      <c r="BA21" s="326"/>
      <c r="BB21" s="327"/>
      <c r="BG21" s="119" t="s">
        <v>197</v>
      </c>
      <c r="BH21" s="162">
        <v>10</v>
      </c>
      <c r="BI21"/>
      <c r="BN21"/>
    </row>
    <row r="22" spans="1:66" ht="17.25" customHeight="1">
      <c r="A22" s="15"/>
      <c r="B22" s="748" t="s">
        <v>626</v>
      </c>
      <c r="C22" s="749"/>
      <c r="D22" s="749"/>
      <c r="E22" s="750"/>
      <c r="F22" s="748">
        <v>405</v>
      </c>
      <c r="G22" s="749"/>
      <c r="H22" s="749"/>
      <c r="I22" s="750"/>
      <c r="J22" s="676">
        <v>0.134524</v>
      </c>
      <c r="K22" s="677"/>
      <c r="L22" s="678"/>
      <c r="M22" s="667">
        <v>0.003</v>
      </c>
      <c r="N22" s="668"/>
      <c r="O22" s="668"/>
      <c r="P22" s="669"/>
      <c r="Q22" s="670" t="str">
        <f t="shared" si="0"/>
        <v>0.020</v>
      </c>
      <c r="R22" s="671"/>
      <c r="S22" s="671"/>
      <c r="T22" s="672"/>
      <c r="U22" s="667">
        <v>0.001</v>
      </c>
      <c r="V22" s="668"/>
      <c r="W22" s="668"/>
      <c r="X22" s="669"/>
      <c r="Y22" s="673" t="str">
        <f t="shared" si="1"/>
        <v>0.020</v>
      </c>
      <c r="Z22" s="674"/>
      <c r="AA22" s="674"/>
      <c r="AB22" s="675"/>
      <c r="AC22" s="667">
        <v>-0.004</v>
      </c>
      <c r="AD22" s="668"/>
      <c r="AE22" s="668"/>
      <c r="AF22" s="669"/>
      <c r="AG22" s="673" t="str">
        <f t="shared" si="2"/>
        <v>0.020</v>
      </c>
      <c r="AH22" s="674"/>
      <c r="AI22" s="674"/>
      <c r="AJ22" s="675"/>
      <c r="AK22" s="667">
        <v>0.2</v>
      </c>
      <c r="AL22" s="668"/>
      <c r="AM22" s="668"/>
      <c r="AN22" s="669"/>
      <c r="AO22" s="725">
        <f t="shared" si="3"/>
      </c>
      <c r="AP22" s="726"/>
      <c r="AQ22" s="726"/>
      <c r="AR22" s="727"/>
      <c r="AS22" s="666"/>
      <c r="AT22" s="733" t="s">
        <v>515</v>
      </c>
      <c r="AU22" s="734"/>
      <c r="AV22" s="735"/>
      <c r="AW22" s="733">
        <v>5</v>
      </c>
      <c r="AX22" s="734"/>
      <c r="AY22" s="735"/>
      <c r="AZ22" s="734" t="s">
        <v>516</v>
      </c>
      <c r="BA22" s="734"/>
      <c r="BB22" s="735"/>
      <c r="BG22" s="119" t="s">
        <v>198</v>
      </c>
      <c r="BH22" s="162">
        <v>20</v>
      </c>
      <c r="BI22"/>
      <c r="BN22"/>
    </row>
    <row r="23" spans="1:61" ht="17.25" customHeight="1">
      <c r="A23" s="15"/>
      <c r="B23" s="748" t="s">
        <v>626</v>
      </c>
      <c r="C23" s="749"/>
      <c r="D23" s="749"/>
      <c r="E23" s="750"/>
      <c r="F23" s="748" t="s">
        <v>625</v>
      </c>
      <c r="G23" s="749"/>
      <c r="H23" s="749"/>
      <c r="I23" s="750"/>
      <c r="J23" s="676">
        <v>1.293772</v>
      </c>
      <c r="K23" s="677"/>
      <c r="L23" s="678"/>
      <c r="M23" s="667">
        <v>-0.006</v>
      </c>
      <c r="N23" s="668"/>
      <c r="O23" s="668"/>
      <c r="P23" s="669"/>
      <c r="Q23" s="670" t="str">
        <f t="shared" si="0"/>
        <v>0.020</v>
      </c>
      <c r="R23" s="671"/>
      <c r="S23" s="671"/>
      <c r="T23" s="672"/>
      <c r="U23" s="667">
        <v>-0.004</v>
      </c>
      <c r="V23" s="668"/>
      <c r="W23" s="668"/>
      <c r="X23" s="669"/>
      <c r="Y23" s="673" t="str">
        <f t="shared" si="1"/>
        <v>0.020</v>
      </c>
      <c r="Z23" s="674"/>
      <c r="AA23" s="674"/>
      <c r="AB23" s="675"/>
      <c r="AC23" s="667">
        <v>0.009</v>
      </c>
      <c r="AD23" s="668"/>
      <c r="AE23" s="668"/>
      <c r="AF23" s="669"/>
      <c r="AG23" s="673" t="str">
        <f t="shared" si="2"/>
        <v>0.020</v>
      </c>
      <c r="AH23" s="674"/>
      <c r="AI23" s="674"/>
      <c r="AJ23" s="675"/>
      <c r="AK23" s="667">
        <v>0.2</v>
      </c>
      <c r="AL23" s="668"/>
      <c r="AM23" s="668"/>
      <c r="AN23" s="669"/>
      <c r="AO23" s="725">
        <f t="shared" si="3"/>
      </c>
      <c r="AP23" s="726"/>
      <c r="AQ23" s="726"/>
      <c r="AR23" s="727"/>
      <c r="AS23" s="666"/>
      <c r="AT23" s="733"/>
      <c r="AU23" s="734"/>
      <c r="AV23" s="735"/>
      <c r="AW23" s="733"/>
      <c r="AX23" s="734"/>
      <c r="AY23" s="735"/>
      <c r="AZ23" s="734"/>
      <c r="BA23" s="734"/>
      <c r="BB23" s="735"/>
      <c r="BG23" s="120" t="s">
        <v>193</v>
      </c>
      <c r="BH23" s="163">
        <v>80</v>
      </c>
      <c r="BI23"/>
    </row>
    <row r="24" spans="1:61" ht="17.25" customHeight="1">
      <c r="A24" s="15"/>
      <c r="B24" s="713" t="s">
        <v>627</v>
      </c>
      <c r="C24" s="714"/>
      <c r="D24" s="714"/>
      <c r="E24" s="715"/>
      <c r="F24" s="713">
        <v>402</v>
      </c>
      <c r="G24" s="714"/>
      <c r="H24" s="714"/>
      <c r="I24" s="715"/>
      <c r="J24" s="761">
        <v>1.326285</v>
      </c>
      <c r="K24" s="762"/>
      <c r="L24" s="763"/>
      <c r="M24" s="736">
        <v>0.001</v>
      </c>
      <c r="N24" s="737"/>
      <c r="O24" s="737"/>
      <c r="P24" s="738"/>
      <c r="Q24" s="739" t="str">
        <f t="shared" si="0"/>
        <v>0.020</v>
      </c>
      <c r="R24" s="740"/>
      <c r="S24" s="740"/>
      <c r="T24" s="741"/>
      <c r="U24" s="736">
        <v>0.002</v>
      </c>
      <c r="V24" s="737"/>
      <c r="W24" s="737"/>
      <c r="X24" s="738"/>
      <c r="Y24" s="673" t="str">
        <f t="shared" si="1"/>
        <v>0.020</v>
      </c>
      <c r="Z24" s="674"/>
      <c r="AA24" s="674"/>
      <c r="AB24" s="675"/>
      <c r="AC24" s="736">
        <v>0.001</v>
      </c>
      <c r="AD24" s="737"/>
      <c r="AE24" s="737"/>
      <c r="AF24" s="738"/>
      <c r="AG24" s="673" t="str">
        <f t="shared" si="2"/>
        <v>0.020</v>
      </c>
      <c r="AH24" s="674"/>
      <c r="AI24" s="674"/>
      <c r="AJ24" s="675"/>
      <c r="AK24" s="667">
        <v>0.2</v>
      </c>
      <c r="AL24" s="668"/>
      <c r="AM24" s="668"/>
      <c r="AN24" s="669"/>
      <c r="AO24" s="725">
        <f t="shared" si="3"/>
      </c>
      <c r="AP24" s="726"/>
      <c r="AQ24" s="726"/>
      <c r="AR24" s="727"/>
      <c r="AS24" s="666"/>
      <c r="AT24" s="733"/>
      <c r="AU24" s="734"/>
      <c r="AV24" s="735"/>
      <c r="AW24" s="733"/>
      <c r="AX24" s="734"/>
      <c r="AY24" s="735"/>
      <c r="AZ24" s="734"/>
      <c r="BA24" s="734"/>
      <c r="BB24" s="735"/>
      <c r="BG24" s="121"/>
      <c r="BI24"/>
    </row>
    <row r="25" spans="1:61" ht="12.75" customHeight="1">
      <c r="A25" s="15"/>
      <c r="B25" s="556"/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  <c r="X25" s="556"/>
      <c r="Y25" s="556"/>
      <c r="Z25" s="556"/>
      <c r="AA25" s="556"/>
      <c r="AB25" s="556"/>
      <c r="AC25" s="556"/>
      <c r="AD25" s="556"/>
      <c r="AE25" s="556"/>
      <c r="AF25" s="556"/>
      <c r="AG25" s="556"/>
      <c r="AH25" s="556"/>
      <c r="AI25" s="556"/>
      <c r="AJ25" s="556"/>
      <c r="AK25" s="556"/>
      <c r="AL25" s="556"/>
      <c r="AM25" s="556"/>
      <c r="AN25" s="556"/>
      <c r="AO25" s="556"/>
      <c r="AP25" s="556"/>
      <c r="AQ25" s="556"/>
      <c r="AR25" s="556"/>
      <c r="AS25" s="666"/>
      <c r="AT25" s="733"/>
      <c r="AU25" s="734"/>
      <c r="AV25" s="735"/>
      <c r="AW25" s="733"/>
      <c r="AX25" s="734"/>
      <c r="AY25" s="735"/>
      <c r="AZ25" s="733"/>
      <c r="BA25" s="734"/>
      <c r="BB25" s="735"/>
      <c r="BG25" s="121"/>
      <c r="BI25"/>
    </row>
    <row r="26" spans="1:61" ht="18" customHeight="1">
      <c r="A26" s="15"/>
      <c r="B26" s="325" t="s">
        <v>438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26"/>
      <c r="M26" s="327"/>
      <c r="N26" s="596"/>
      <c r="O26" s="325" t="s">
        <v>449</v>
      </c>
      <c r="P26" s="326"/>
      <c r="Q26" s="326"/>
      <c r="R26" s="326"/>
      <c r="S26" s="326"/>
      <c r="T26" s="326"/>
      <c r="U26" s="326"/>
      <c r="V26" s="326"/>
      <c r="W26" s="326"/>
      <c r="X26" s="326"/>
      <c r="Y26" s="326"/>
      <c r="Z26" s="326"/>
      <c r="AA26" s="326"/>
      <c r="AB26" s="326"/>
      <c r="AC26" s="326"/>
      <c r="AD26" s="326"/>
      <c r="AE26" s="326"/>
      <c r="AF26" s="326"/>
      <c r="AG26" s="326"/>
      <c r="AH26" s="326"/>
      <c r="AI26" s="326"/>
      <c r="AJ26" s="326"/>
      <c r="AK26" s="326"/>
      <c r="AL26" s="326"/>
      <c r="AM26" s="326"/>
      <c r="AN26" s="326"/>
      <c r="AO26" s="326"/>
      <c r="AP26" s="326"/>
      <c r="AQ26" s="326"/>
      <c r="AR26" s="327"/>
      <c r="AS26" s="666"/>
      <c r="AT26" s="733"/>
      <c r="AU26" s="734"/>
      <c r="AV26" s="735"/>
      <c r="AW26" s="733"/>
      <c r="AX26" s="734"/>
      <c r="AY26" s="735"/>
      <c r="AZ26" s="733"/>
      <c r="BA26" s="734"/>
      <c r="BB26" s="735"/>
      <c r="BG26" s="121"/>
      <c r="BI26"/>
    </row>
    <row r="27" spans="1:61" ht="19.5" customHeight="1">
      <c r="A27" s="15"/>
      <c r="B27" s="418" t="s">
        <v>447</v>
      </c>
      <c r="C27" s="419"/>
      <c r="D27" s="419"/>
      <c r="E27" s="420"/>
      <c r="F27" s="325" t="s">
        <v>436</v>
      </c>
      <c r="G27" s="326"/>
      <c r="H27" s="326"/>
      <c r="I27" s="327"/>
      <c r="J27" s="325" t="s">
        <v>448</v>
      </c>
      <c r="K27" s="326"/>
      <c r="L27" s="326"/>
      <c r="M27" s="327"/>
      <c r="N27" s="596"/>
      <c r="O27" s="325" t="s">
        <v>442</v>
      </c>
      <c r="P27" s="326"/>
      <c r="Q27" s="326"/>
      <c r="R27" s="326"/>
      <c r="S27" s="326"/>
      <c r="T27" s="327"/>
      <c r="U27" s="558" t="s">
        <v>450</v>
      </c>
      <c r="V27" s="754"/>
      <c r="W27" s="754"/>
      <c r="X27" s="754"/>
      <c r="Y27" s="754"/>
      <c r="Z27" s="755"/>
      <c r="AA27" s="558" t="s">
        <v>451</v>
      </c>
      <c r="AB27" s="754"/>
      <c r="AC27" s="754"/>
      <c r="AD27" s="754"/>
      <c r="AE27" s="754"/>
      <c r="AF27" s="755"/>
      <c r="AG27" s="558" t="s">
        <v>452</v>
      </c>
      <c r="AH27" s="754"/>
      <c r="AI27" s="754"/>
      <c r="AJ27" s="754"/>
      <c r="AK27" s="754"/>
      <c r="AL27" s="755"/>
      <c r="AM27" s="418" t="s">
        <v>453</v>
      </c>
      <c r="AN27" s="419"/>
      <c r="AO27" s="419"/>
      <c r="AP27" s="419"/>
      <c r="AQ27" s="419"/>
      <c r="AR27" s="420"/>
      <c r="AS27" s="666"/>
      <c r="AT27" s="733"/>
      <c r="AU27" s="734"/>
      <c r="AV27" s="735"/>
      <c r="AW27" s="733"/>
      <c r="AX27" s="734"/>
      <c r="AY27" s="735"/>
      <c r="AZ27" s="734"/>
      <c r="BA27" s="734"/>
      <c r="BB27" s="735"/>
      <c r="BG27" s="121"/>
      <c r="BI27"/>
    </row>
    <row r="28" spans="1:61" ht="29.25" customHeight="1">
      <c r="A28" s="15"/>
      <c r="B28" s="550"/>
      <c r="C28" s="543"/>
      <c r="D28" s="543"/>
      <c r="E28" s="544"/>
      <c r="F28" s="751" t="s">
        <v>454</v>
      </c>
      <c r="G28" s="327"/>
      <c r="H28" s="751" t="s">
        <v>455</v>
      </c>
      <c r="I28" s="327"/>
      <c r="J28" s="751" t="s">
        <v>454</v>
      </c>
      <c r="K28" s="327"/>
      <c r="L28" s="751" t="s">
        <v>455</v>
      </c>
      <c r="M28" s="327"/>
      <c r="N28" s="596"/>
      <c r="O28" s="693" t="s">
        <v>190</v>
      </c>
      <c r="P28" s="694"/>
      <c r="Q28" s="695"/>
      <c r="R28" s="694" t="s">
        <v>191</v>
      </c>
      <c r="S28" s="694"/>
      <c r="T28" s="695"/>
      <c r="U28" s="756"/>
      <c r="V28" s="757"/>
      <c r="W28" s="757"/>
      <c r="X28" s="757"/>
      <c r="Y28" s="757"/>
      <c r="Z28" s="758"/>
      <c r="AA28" s="756"/>
      <c r="AB28" s="757"/>
      <c r="AC28" s="757"/>
      <c r="AD28" s="757"/>
      <c r="AE28" s="757"/>
      <c r="AF28" s="758"/>
      <c r="AG28" s="756"/>
      <c r="AH28" s="757"/>
      <c r="AI28" s="757"/>
      <c r="AJ28" s="757"/>
      <c r="AK28" s="757"/>
      <c r="AL28" s="758"/>
      <c r="AM28" s="550"/>
      <c r="AN28" s="543"/>
      <c r="AO28" s="543"/>
      <c r="AP28" s="543"/>
      <c r="AQ28" s="543"/>
      <c r="AR28" s="544"/>
      <c r="AS28" s="666"/>
      <c r="AT28" s="323" t="s">
        <v>179</v>
      </c>
      <c r="AU28" s="317"/>
      <c r="AV28" s="317"/>
      <c r="AW28" s="317"/>
      <c r="AX28" s="317"/>
      <c r="AY28" s="317"/>
      <c r="AZ28" s="317"/>
      <c r="BA28" s="317"/>
      <c r="BB28" s="324"/>
      <c r="BG28" s="121"/>
      <c r="BH28" s="63"/>
      <c r="BI28"/>
    </row>
    <row r="29" spans="1:61" ht="12" customHeight="1">
      <c r="A29" s="5"/>
      <c r="B29" s="564"/>
      <c r="C29" s="551"/>
      <c r="D29" s="551"/>
      <c r="E29" s="552"/>
      <c r="F29" s="752" t="s">
        <v>301</v>
      </c>
      <c r="G29" s="753"/>
      <c r="H29" s="752" t="s">
        <v>301</v>
      </c>
      <c r="I29" s="753"/>
      <c r="J29" s="752" t="s">
        <v>301</v>
      </c>
      <c r="K29" s="753"/>
      <c r="L29" s="752" t="s">
        <v>301</v>
      </c>
      <c r="M29" s="753"/>
      <c r="N29" s="596"/>
      <c r="O29" s="564"/>
      <c r="P29" s="551"/>
      <c r="Q29" s="552"/>
      <c r="R29" s="551"/>
      <c r="S29" s="551"/>
      <c r="T29" s="552"/>
      <c r="U29" s="689" t="s">
        <v>301</v>
      </c>
      <c r="V29" s="690"/>
      <c r="W29" s="690" t="s">
        <v>301</v>
      </c>
      <c r="X29" s="690"/>
      <c r="Y29" s="690" t="s">
        <v>301</v>
      </c>
      <c r="Z29" s="742"/>
      <c r="AA29" s="689" t="s">
        <v>301</v>
      </c>
      <c r="AB29" s="690"/>
      <c r="AC29" s="690" t="s">
        <v>301</v>
      </c>
      <c r="AD29" s="690"/>
      <c r="AE29" s="690" t="s">
        <v>301</v>
      </c>
      <c r="AF29" s="742"/>
      <c r="AG29" s="689" t="s">
        <v>301</v>
      </c>
      <c r="AH29" s="690"/>
      <c r="AI29" s="690" t="s">
        <v>301</v>
      </c>
      <c r="AJ29" s="690"/>
      <c r="AK29" s="690" t="s">
        <v>301</v>
      </c>
      <c r="AL29" s="742"/>
      <c r="AM29" s="689" t="s">
        <v>301</v>
      </c>
      <c r="AN29" s="690"/>
      <c r="AO29" s="690" t="s">
        <v>301</v>
      </c>
      <c r="AP29" s="690"/>
      <c r="AQ29" s="690" t="s">
        <v>296</v>
      </c>
      <c r="AR29" s="742"/>
      <c r="AS29" s="666"/>
      <c r="AT29" s="321"/>
      <c r="AU29" s="314"/>
      <c r="AV29" s="314"/>
      <c r="AW29" s="314"/>
      <c r="AX29" s="314"/>
      <c r="AY29" s="314"/>
      <c r="AZ29" s="314"/>
      <c r="BA29" s="314"/>
      <c r="BB29" s="319"/>
      <c r="BG29" s="121"/>
      <c r="BI29"/>
    </row>
    <row r="30" spans="1:61" ht="17.25" customHeight="1">
      <c r="A30" s="5"/>
      <c r="B30" s="372"/>
      <c r="C30" s="373"/>
      <c r="D30" s="373"/>
      <c r="E30" s="349"/>
      <c r="F30" s="698"/>
      <c r="G30" s="699"/>
      <c r="H30" s="711">
        <f>IF(F30="","",IF($BG$13=0,"等級を選択",0.1))</f>
      </c>
      <c r="I30" s="712"/>
      <c r="J30" s="698"/>
      <c r="K30" s="699"/>
      <c r="L30" s="711">
        <f>IF(J30="","",IF($BG$13=0,"等級を選択",0.2))</f>
      </c>
      <c r="M30" s="712"/>
      <c r="N30" s="596"/>
      <c r="O30" s="748">
        <v>404</v>
      </c>
      <c r="P30" s="749"/>
      <c r="Q30" s="750"/>
      <c r="R30" s="748">
        <v>403</v>
      </c>
      <c r="S30" s="749"/>
      <c r="T30" s="750"/>
      <c r="U30" s="703">
        <v>98.325</v>
      </c>
      <c r="V30" s="704"/>
      <c r="W30" s="702">
        <v>62.394</v>
      </c>
      <c r="X30" s="702"/>
      <c r="Y30" s="691">
        <v>30.159</v>
      </c>
      <c r="Z30" s="692"/>
      <c r="AA30" s="703">
        <v>98.329</v>
      </c>
      <c r="AB30" s="704"/>
      <c r="AC30" s="702">
        <v>62.395</v>
      </c>
      <c r="AD30" s="702"/>
      <c r="AE30" s="691">
        <v>30.159</v>
      </c>
      <c r="AF30" s="692"/>
      <c r="AG30" s="700">
        <f>IF(OR(U30="",AA30=""),"",ROUND(ABS(U30-AA30),3))</f>
        <v>0.004</v>
      </c>
      <c r="AH30" s="701"/>
      <c r="AI30" s="688">
        <f>IF(OR(W30="",AC30=""),"",ROUND(ABS(W30-AC30),3))</f>
        <v>0.001</v>
      </c>
      <c r="AJ30" s="688"/>
      <c r="AK30" s="705">
        <f>IF(OR(Y30="",AE30=""),"",ROUND(ABS(Y30-AE30),3))</f>
        <v>0</v>
      </c>
      <c r="AL30" s="706"/>
      <c r="AM30" s="700">
        <f>IF(AG30="","",IF($BG$13=0,"等級",0.02))</f>
        <v>0.02</v>
      </c>
      <c r="AN30" s="701"/>
      <c r="AO30" s="688">
        <f>IF(AI30="","",IF($BG$13=0,"を",0.02))</f>
        <v>0.02</v>
      </c>
      <c r="AP30" s="688"/>
      <c r="AQ30" s="705">
        <f>IF(AK30="","",IF($BG$13=0,"選択",0.03))</f>
        <v>0.03</v>
      </c>
      <c r="AR30" s="706"/>
      <c r="AS30" s="666"/>
      <c r="AT30" s="733" t="s">
        <v>517</v>
      </c>
      <c r="AU30" s="734"/>
      <c r="AV30" s="734"/>
      <c r="AW30" s="734"/>
      <c r="AX30" s="734"/>
      <c r="AY30" s="734"/>
      <c r="AZ30" s="734"/>
      <c r="BA30" s="734"/>
      <c r="BB30" s="735"/>
      <c r="BG30" s="121"/>
      <c r="BI30"/>
    </row>
    <row r="31" spans="1:61" ht="17.25" customHeight="1">
      <c r="A31" s="5"/>
      <c r="B31" s="372" t="s">
        <v>628</v>
      </c>
      <c r="C31" s="373"/>
      <c r="D31" s="373"/>
      <c r="E31" s="349"/>
      <c r="F31" s="698"/>
      <c r="G31" s="699"/>
      <c r="H31" s="711">
        <f>IF(F31="","",IF($BG$13=0,"等級を選択",0.1))</f>
      </c>
      <c r="I31" s="712"/>
      <c r="J31" s="698"/>
      <c r="K31" s="699"/>
      <c r="L31" s="711">
        <f>IF(J31="","",IF($BG$13=0,"等級を選択",0.2))</f>
      </c>
      <c r="M31" s="712"/>
      <c r="N31" s="596"/>
      <c r="O31" s="748"/>
      <c r="P31" s="749"/>
      <c r="Q31" s="750"/>
      <c r="R31" s="748"/>
      <c r="S31" s="749"/>
      <c r="T31" s="750"/>
      <c r="U31" s="703"/>
      <c r="V31" s="704"/>
      <c r="W31" s="702"/>
      <c r="X31" s="702"/>
      <c r="Y31" s="691"/>
      <c r="Z31" s="692"/>
      <c r="AA31" s="703"/>
      <c r="AB31" s="704"/>
      <c r="AC31" s="702"/>
      <c r="AD31" s="702"/>
      <c r="AE31" s="691"/>
      <c r="AF31" s="692"/>
      <c r="AG31" s="700">
        <f>IF(OR(U31="",AA31=""),"",ROUND(ABS(U31-AA31),3))</f>
      </c>
      <c r="AH31" s="701"/>
      <c r="AI31" s="688">
        <f>IF(OR(W31="",AC31=""),"",ROUND(ABS(W31-AC31),3))</f>
      </c>
      <c r="AJ31" s="688"/>
      <c r="AK31" s="705">
        <f>IF(OR(Y31="",AE31=""),"",ROUND(ABS(Y31-AE31),3))</f>
      </c>
      <c r="AL31" s="706"/>
      <c r="AM31" s="700">
        <f>IF(AG31="","",IF($BG$13=0,"等級",0.02))</f>
      </c>
      <c r="AN31" s="701"/>
      <c r="AO31" s="688">
        <f>IF(AI31="","",IF($BG$13=0,"を",0.02))</f>
      </c>
      <c r="AP31" s="688"/>
      <c r="AQ31" s="705">
        <f>IF(AK31="","",IF($BG$13=0,"選択",0.03))</f>
      </c>
      <c r="AR31" s="706"/>
      <c r="AS31" s="666"/>
      <c r="AT31" s="733"/>
      <c r="AU31" s="734"/>
      <c r="AV31" s="734"/>
      <c r="AW31" s="734"/>
      <c r="AX31" s="734"/>
      <c r="AY31" s="734"/>
      <c r="AZ31" s="734"/>
      <c r="BA31" s="734"/>
      <c r="BB31" s="735"/>
      <c r="BG31" s="121"/>
      <c r="BI31"/>
    </row>
    <row r="32" spans="1:61" ht="17.25" customHeight="1">
      <c r="A32" s="5"/>
      <c r="B32" s="372"/>
      <c r="C32" s="373"/>
      <c r="D32" s="373"/>
      <c r="E32" s="349"/>
      <c r="F32" s="698"/>
      <c r="G32" s="699"/>
      <c r="H32" s="711">
        <f>IF(F32="","",IF($BG$13=0,"等級を選択",0.1))</f>
      </c>
      <c r="I32" s="712"/>
      <c r="J32" s="698"/>
      <c r="K32" s="699"/>
      <c r="L32" s="711">
        <f>IF(J32="","",IF($BG$13=0,"等級を選択",0.2))</f>
      </c>
      <c r="M32" s="712"/>
      <c r="N32" s="596"/>
      <c r="O32" s="748"/>
      <c r="P32" s="749"/>
      <c r="Q32" s="750"/>
      <c r="R32" s="748"/>
      <c r="S32" s="749"/>
      <c r="T32" s="750"/>
      <c r="U32" s="703"/>
      <c r="V32" s="704"/>
      <c r="W32" s="702"/>
      <c r="X32" s="702"/>
      <c r="Y32" s="691"/>
      <c r="Z32" s="692"/>
      <c r="AA32" s="703"/>
      <c r="AB32" s="704"/>
      <c r="AC32" s="702"/>
      <c r="AD32" s="702"/>
      <c r="AE32" s="691"/>
      <c r="AF32" s="692"/>
      <c r="AG32" s="700">
        <f>IF(OR(U32="",AA32=""),"",ROUND(ABS(U32-AA32),3))</f>
      </c>
      <c r="AH32" s="701"/>
      <c r="AI32" s="688">
        <f>IF(OR(W32="",AC32=""),"",ROUND(ABS(W32-AC32),3))</f>
      </c>
      <c r="AJ32" s="688"/>
      <c r="AK32" s="705">
        <f>IF(OR(Y32="",AE32=""),"",ROUND(ABS(Y32-AE32),3))</f>
      </c>
      <c r="AL32" s="706"/>
      <c r="AM32" s="700">
        <f>IF(AG32="","",IF($BG$13=0,"等級",0.02))</f>
      </c>
      <c r="AN32" s="701"/>
      <c r="AO32" s="688">
        <f>IF(AI32="","",IF($BG$13=0,"を",0.02))</f>
      </c>
      <c r="AP32" s="688"/>
      <c r="AQ32" s="705">
        <f>IF(AK32="","",IF($BG$13=0,"選択",0.03))</f>
      </c>
      <c r="AR32" s="706"/>
      <c r="AS32" s="666"/>
      <c r="AT32" s="733"/>
      <c r="AU32" s="734"/>
      <c r="AV32" s="734"/>
      <c r="AW32" s="734"/>
      <c r="AX32" s="734"/>
      <c r="AY32" s="734"/>
      <c r="AZ32" s="734"/>
      <c r="BA32" s="734"/>
      <c r="BB32" s="735"/>
      <c r="BG32" s="121"/>
      <c r="BI32"/>
    </row>
    <row r="33" spans="1:61" ht="17.25" customHeight="1">
      <c r="A33" s="5"/>
      <c r="B33" s="331"/>
      <c r="C33" s="328"/>
      <c r="D33" s="328"/>
      <c r="E33" s="329"/>
      <c r="F33" s="696"/>
      <c r="G33" s="697"/>
      <c r="H33" s="716">
        <f>IF(F33="","",IF($BG$13=0,"等級を選択",0.1))</f>
      </c>
      <c r="I33" s="717"/>
      <c r="J33" s="696"/>
      <c r="K33" s="697"/>
      <c r="L33" s="716">
        <f>IF(J33="","",IF($BG$13=0,"等級を選択",0.2))</f>
      </c>
      <c r="M33" s="717"/>
      <c r="N33" s="596"/>
      <c r="O33" s="713"/>
      <c r="P33" s="714"/>
      <c r="Q33" s="715"/>
      <c r="R33" s="713"/>
      <c r="S33" s="714"/>
      <c r="T33" s="715"/>
      <c r="U33" s="759"/>
      <c r="V33" s="760"/>
      <c r="W33" s="718"/>
      <c r="X33" s="718"/>
      <c r="Y33" s="719"/>
      <c r="Z33" s="720"/>
      <c r="AA33" s="759"/>
      <c r="AB33" s="760"/>
      <c r="AC33" s="718"/>
      <c r="AD33" s="718"/>
      <c r="AE33" s="719"/>
      <c r="AF33" s="720"/>
      <c r="AG33" s="707">
        <f>IF(OR(U33="",AA33=""),"",ROUND(ABS(U33-AA33),3))</f>
      </c>
      <c r="AH33" s="708"/>
      <c r="AI33" s="721">
        <f>IF(OR(W33="",AC33=""),"",ROUND(ABS(W33-AC33),3))</f>
      </c>
      <c r="AJ33" s="721"/>
      <c r="AK33" s="709">
        <f>IF(OR(Y33="",AE33=""),"",ROUND(ABS(Y33-AE33),3))</f>
      </c>
      <c r="AL33" s="710"/>
      <c r="AM33" s="707">
        <f>IF(AG33="","",IF($BG$13=0,"等級",0.02))</f>
      </c>
      <c r="AN33" s="708"/>
      <c r="AO33" s="721">
        <f>IF(AI33="","",IF($BG$13=0,"を",0.02))</f>
      </c>
      <c r="AP33" s="721"/>
      <c r="AQ33" s="709">
        <f>IF(AK33="","",IF($BG$13=0,"選択",0.03))</f>
      </c>
      <c r="AR33" s="710"/>
      <c r="AS33" s="666"/>
      <c r="AT33" s="746"/>
      <c r="AU33" s="599"/>
      <c r="AV33" s="599"/>
      <c r="AW33" s="599"/>
      <c r="AX33" s="599"/>
      <c r="AY33" s="599"/>
      <c r="AZ33" s="599"/>
      <c r="BA33" s="599"/>
      <c r="BB33" s="747"/>
      <c r="BG33" s="121"/>
      <c r="BI33"/>
    </row>
    <row r="34" spans="1:61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G34" s="121"/>
      <c r="BI34"/>
    </row>
    <row r="35" spans="1:61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G35" s="121"/>
      <c r="BI35"/>
    </row>
    <row r="36" spans="1:6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G36" s="121"/>
      <c r="BI36"/>
    </row>
    <row r="37" spans="1:61" ht="15.75">
      <c r="A37"/>
      <c r="B37" s="296" t="s">
        <v>0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G37" s="121"/>
      <c r="BI37"/>
    </row>
    <row r="38" spans="1:61" ht="15.75">
      <c r="A38"/>
      <c r="B38" s="296" t="s">
        <v>17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G38" s="121"/>
      <c r="BI38"/>
    </row>
    <row r="39" spans="1:6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G39" s="121"/>
      <c r="BI39"/>
    </row>
    <row r="40" spans="1:6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G40" s="121"/>
      <c r="BI40"/>
    </row>
    <row r="41" spans="1:6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G41" s="121"/>
      <c r="BI41"/>
    </row>
    <row r="42" spans="1:61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G42" s="121"/>
      <c r="BI42"/>
    </row>
    <row r="43" spans="1:61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G43" s="121"/>
      <c r="BI43"/>
    </row>
    <row r="44" spans="1:6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G44" s="121"/>
      <c r="BI44"/>
    </row>
    <row r="45" spans="1:6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G45" s="121"/>
      <c r="BI45"/>
    </row>
    <row r="46" spans="1:6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G46" s="121"/>
      <c r="BI46"/>
    </row>
    <row r="47" spans="1:6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G47" s="121"/>
      <c r="BI47"/>
    </row>
    <row r="48" spans="1:61" ht="12.75">
      <c r="A48"/>
      <c r="BG48" s="121"/>
      <c r="BI48"/>
    </row>
    <row r="49" spans="1:61" ht="12.75">
      <c r="A49"/>
      <c r="BG49" s="121"/>
      <c r="BI49"/>
    </row>
    <row r="50" spans="1:59" ht="12.75">
      <c r="A50"/>
      <c r="BG50" s="121"/>
    </row>
    <row r="51" ht="12.75">
      <c r="BG51" s="121"/>
    </row>
    <row r="52" ht="12.75">
      <c r="BG52" s="121"/>
    </row>
    <row r="53" ht="12.75">
      <c r="BG53" s="121"/>
    </row>
    <row r="54" ht="12.75">
      <c r="BG54" s="121"/>
    </row>
    <row r="55" ht="12.75">
      <c r="BG55" s="121"/>
    </row>
    <row r="56" ht="12.75">
      <c r="BG56" s="121"/>
    </row>
    <row r="57" ht="12.75">
      <c r="BG57" s="121"/>
    </row>
  </sheetData>
  <sheetProtection formatCells="0"/>
  <mergeCells count="312">
    <mergeCell ref="J27:M27"/>
    <mergeCell ref="L28:M28"/>
    <mergeCell ref="J28:K28"/>
    <mergeCell ref="F19:I19"/>
    <mergeCell ref="J19:L19"/>
    <mergeCell ref="F24:I24"/>
    <mergeCell ref="F20:I20"/>
    <mergeCell ref="F21:I21"/>
    <mergeCell ref="M23:P23"/>
    <mergeCell ref="J24:L24"/>
    <mergeCell ref="AO33:AP33"/>
    <mergeCell ref="AQ31:AR31"/>
    <mergeCell ref="AQ32:AR32"/>
    <mergeCell ref="AQ33:AR33"/>
    <mergeCell ref="AO32:AP32"/>
    <mergeCell ref="R31:T31"/>
    <mergeCell ref="R32:T32"/>
    <mergeCell ref="U32:V32"/>
    <mergeCell ref="W32:X32"/>
    <mergeCell ref="U31:V31"/>
    <mergeCell ref="O31:Q31"/>
    <mergeCell ref="O32:Q32"/>
    <mergeCell ref="J31:K31"/>
    <mergeCell ref="J32:K32"/>
    <mergeCell ref="AM33:AN33"/>
    <mergeCell ref="L33:M33"/>
    <mergeCell ref="L31:M31"/>
    <mergeCell ref="AE33:AF33"/>
    <mergeCell ref="AC33:AD33"/>
    <mergeCell ref="AA33:AB33"/>
    <mergeCell ref="U33:V33"/>
    <mergeCell ref="AE31:AF31"/>
    <mergeCell ref="AI31:AJ31"/>
    <mergeCell ref="AK31:AL31"/>
    <mergeCell ref="AM31:AN31"/>
    <mergeCell ref="AM29:AN29"/>
    <mergeCell ref="AO31:AP31"/>
    <mergeCell ref="AM32:AN32"/>
    <mergeCell ref="AM30:AN30"/>
    <mergeCell ref="AO30:AP30"/>
    <mergeCell ref="AK29:AL29"/>
    <mergeCell ref="AO29:AP29"/>
    <mergeCell ref="Q23:T23"/>
    <mergeCell ref="U23:X23"/>
    <mergeCell ref="AK23:AN23"/>
    <mergeCell ref="AI29:AJ29"/>
    <mergeCell ref="AE29:AF29"/>
    <mergeCell ref="Y29:Z29"/>
    <mergeCell ref="W29:X29"/>
    <mergeCell ref="U29:V29"/>
    <mergeCell ref="U22:X22"/>
    <mergeCell ref="AG30:AH30"/>
    <mergeCell ref="AA27:AF28"/>
    <mergeCell ref="U27:Z28"/>
    <mergeCell ref="AC29:AD29"/>
    <mergeCell ref="AA29:AB29"/>
    <mergeCell ref="AC23:AF23"/>
    <mergeCell ref="U30:V30"/>
    <mergeCell ref="W30:X30"/>
    <mergeCell ref="AG27:AL28"/>
    <mergeCell ref="AK20:AN20"/>
    <mergeCell ref="AT19:BB19"/>
    <mergeCell ref="AT20:BB20"/>
    <mergeCell ref="AG22:AJ22"/>
    <mergeCell ref="AG20:AJ20"/>
    <mergeCell ref="AW22:AY22"/>
    <mergeCell ref="AO22:AR22"/>
    <mergeCell ref="AK22:AN22"/>
    <mergeCell ref="AG21:AJ21"/>
    <mergeCell ref="AG19:AJ19"/>
    <mergeCell ref="AZ23:BB23"/>
    <mergeCell ref="AW23:AY23"/>
    <mergeCell ref="AT23:AV23"/>
    <mergeCell ref="AT21:AV21"/>
    <mergeCell ref="AW21:AY21"/>
    <mergeCell ref="AZ21:BB21"/>
    <mergeCell ref="AZ22:BB22"/>
    <mergeCell ref="AT22:AV22"/>
    <mergeCell ref="AT18:BB18"/>
    <mergeCell ref="B5:E5"/>
    <mergeCell ref="F5:T5"/>
    <mergeCell ref="B13:I13"/>
    <mergeCell ref="B14:E14"/>
    <mergeCell ref="B15:E15"/>
    <mergeCell ref="AK12:AR12"/>
    <mergeCell ref="AT16:BB16"/>
    <mergeCell ref="U5:AD5"/>
    <mergeCell ref="AC14:AF14"/>
    <mergeCell ref="B23:E23"/>
    <mergeCell ref="B12:L12"/>
    <mergeCell ref="J13:L14"/>
    <mergeCell ref="J15:L15"/>
    <mergeCell ref="B21:E21"/>
    <mergeCell ref="B22:E22"/>
    <mergeCell ref="F23:I23"/>
    <mergeCell ref="F22:I22"/>
    <mergeCell ref="J21:L21"/>
    <mergeCell ref="J22:L22"/>
    <mergeCell ref="B31:E31"/>
    <mergeCell ref="H31:I31"/>
    <mergeCell ref="F28:G28"/>
    <mergeCell ref="F29:G29"/>
    <mergeCell ref="F30:G30"/>
    <mergeCell ref="B27:E28"/>
    <mergeCell ref="B29:E29"/>
    <mergeCell ref="B30:E30"/>
    <mergeCell ref="R30:T30"/>
    <mergeCell ref="O30:Q30"/>
    <mergeCell ref="H29:I29"/>
    <mergeCell ref="H30:I30"/>
    <mergeCell ref="O29:Q29"/>
    <mergeCell ref="R29:T29"/>
    <mergeCell ref="J30:K30"/>
    <mergeCell ref="L30:M30"/>
    <mergeCell ref="J29:K29"/>
    <mergeCell ref="L29:M29"/>
    <mergeCell ref="AC21:AF21"/>
    <mergeCell ref="AC22:AF22"/>
    <mergeCell ref="J17:L17"/>
    <mergeCell ref="J18:L18"/>
    <mergeCell ref="Y22:AB22"/>
    <mergeCell ref="U20:X20"/>
    <mergeCell ref="U21:X21"/>
    <mergeCell ref="U19:X19"/>
    <mergeCell ref="Y17:AB17"/>
    <mergeCell ref="Q17:T17"/>
    <mergeCell ref="F17:I17"/>
    <mergeCell ref="B19:E19"/>
    <mergeCell ref="F16:I16"/>
    <mergeCell ref="F18:I18"/>
    <mergeCell ref="B16:E16"/>
    <mergeCell ref="B17:E17"/>
    <mergeCell ref="B18:E18"/>
    <mergeCell ref="B20:E20"/>
    <mergeCell ref="M21:P21"/>
    <mergeCell ref="F27:I27"/>
    <mergeCell ref="AM27:AR28"/>
    <mergeCell ref="AG24:AJ24"/>
    <mergeCell ref="H28:I28"/>
    <mergeCell ref="B26:M26"/>
    <mergeCell ref="U24:X24"/>
    <mergeCell ref="B24:E24"/>
    <mergeCell ref="J23:L23"/>
    <mergeCell ref="AT25:AV25"/>
    <mergeCell ref="AT26:AV26"/>
    <mergeCell ref="AT33:BB33"/>
    <mergeCell ref="AT30:BB30"/>
    <mergeCell ref="AT28:BB29"/>
    <mergeCell ref="AW26:AY26"/>
    <mergeCell ref="AT31:BB31"/>
    <mergeCell ref="AT32:BB32"/>
    <mergeCell ref="AT27:AV27"/>
    <mergeCell ref="AZ24:BB24"/>
    <mergeCell ref="AZ27:BB27"/>
    <mergeCell ref="AZ25:BB25"/>
    <mergeCell ref="AZ26:BB26"/>
    <mergeCell ref="AQ30:AR30"/>
    <mergeCell ref="AQ29:AR29"/>
    <mergeCell ref="F15:I15"/>
    <mergeCell ref="O27:T27"/>
    <mergeCell ref="AK19:AN19"/>
    <mergeCell ref="AO19:AR19"/>
    <mergeCell ref="AO23:AR23"/>
    <mergeCell ref="AO20:AR20"/>
    <mergeCell ref="AO21:AR21"/>
    <mergeCell ref="AK21:AN21"/>
    <mergeCell ref="AW24:AY24"/>
    <mergeCell ref="AW27:AY27"/>
    <mergeCell ref="AT24:AV24"/>
    <mergeCell ref="M24:P24"/>
    <mergeCell ref="B25:AR25"/>
    <mergeCell ref="Q24:T24"/>
    <mergeCell ref="AW25:AY25"/>
    <mergeCell ref="AO24:AR24"/>
    <mergeCell ref="AK24:AN24"/>
    <mergeCell ref="AC24:AF24"/>
    <mergeCell ref="B7:BB7"/>
    <mergeCell ref="B8:BB8"/>
    <mergeCell ref="AK18:AN18"/>
    <mergeCell ref="AG14:AJ14"/>
    <mergeCell ref="AC13:AJ13"/>
    <mergeCell ref="M12:AJ12"/>
    <mergeCell ref="AT17:BB17"/>
    <mergeCell ref="J16:L16"/>
    <mergeCell ref="F14:I14"/>
    <mergeCell ref="AK13:AR13"/>
    <mergeCell ref="AK16:AN16"/>
    <mergeCell ref="AO15:AR15"/>
    <mergeCell ref="AO16:AR16"/>
    <mergeCell ref="AK15:AN15"/>
    <mergeCell ref="AC19:AF19"/>
    <mergeCell ref="AT12:BB12"/>
    <mergeCell ref="AT13:BB13"/>
    <mergeCell ref="AT14:BB14"/>
    <mergeCell ref="AT15:BB15"/>
    <mergeCell ref="AK17:AN17"/>
    <mergeCell ref="AO17:AR17"/>
    <mergeCell ref="AO18:AR18"/>
    <mergeCell ref="AO14:AR14"/>
    <mergeCell ref="AK14:AN14"/>
    <mergeCell ref="Y31:Z31"/>
    <mergeCell ref="Y32:Z32"/>
    <mergeCell ref="Y33:Z33"/>
    <mergeCell ref="AG23:AJ23"/>
    <mergeCell ref="AC30:AD30"/>
    <mergeCell ref="AA30:AB30"/>
    <mergeCell ref="AE30:AF30"/>
    <mergeCell ref="AI33:AJ33"/>
    <mergeCell ref="O26:AR26"/>
    <mergeCell ref="AK30:AL30"/>
    <mergeCell ref="B33:E33"/>
    <mergeCell ref="B32:E32"/>
    <mergeCell ref="AA32:AB32"/>
    <mergeCell ref="L32:M32"/>
    <mergeCell ref="O33:Q33"/>
    <mergeCell ref="R33:T33"/>
    <mergeCell ref="H33:I33"/>
    <mergeCell ref="J33:K33"/>
    <mergeCell ref="H32:I32"/>
    <mergeCell ref="W33:X33"/>
    <mergeCell ref="AK32:AL32"/>
    <mergeCell ref="AG33:AH33"/>
    <mergeCell ref="AK33:AL33"/>
    <mergeCell ref="AI32:AJ32"/>
    <mergeCell ref="F33:G33"/>
    <mergeCell ref="F31:G31"/>
    <mergeCell ref="AG31:AH31"/>
    <mergeCell ref="AG32:AH32"/>
    <mergeCell ref="F32:G32"/>
    <mergeCell ref="AE32:AF32"/>
    <mergeCell ref="AC31:AD31"/>
    <mergeCell ref="AC32:AD32"/>
    <mergeCell ref="AA31:AB31"/>
    <mergeCell ref="W31:X31"/>
    <mergeCell ref="O28:Q28"/>
    <mergeCell ref="R28:T28"/>
    <mergeCell ref="U13:AB13"/>
    <mergeCell ref="M13:T13"/>
    <mergeCell ref="Y14:AB14"/>
    <mergeCell ref="Y15:AB15"/>
    <mergeCell ref="U15:X15"/>
    <mergeCell ref="Q14:T14"/>
    <mergeCell ref="Q15:T15"/>
    <mergeCell ref="U14:X14"/>
    <mergeCell ref="AC18:AF18"/>
    <mergeCell ref="AI30:AJ30"/>
    <mergeCell ref="AG29:AH29"/>
    <mergeCell ref="Y30:Z30"/>
    <mergeCell ref="AG18:AJ18"/>
    <mergeCell ref="Y23:AB23"/>
    <mergeCell ref="Y24:AB24"/>
    <mergeCell ref="AC20:AF20"/>
    <mergeCell ref="Y20:AB20"/>
    <mergeCell ref="Y21:AB21"/>
    <mergeCell ref="AG17:AJ17"/>
    <mergeCell ref="U17:X17"/>
    <mergeCell ref="AC15:AF15"/>
    <mergeCell ref="AC16:AF16"/>
    <mergeCell ref="AC17:AF17"/>
    <mergeCell ref="AG15:AJ15"/>
    <mergeCell ref="AG16:AJ16"/>
    <mergeCell ref="Y16:AB16"/>
    <mergeCell ref="U16:X16"/>
    <mergeCell ref="M14:P14"/>
    <mergeCell ref="M15:P15"/>
    <mergeCell ref="M16:P16"/>
    <mergeCell ref="Q16:T16"/>
    <mergeCell ref="M17:P17"/>
    <mergeCell ref="U18:X18"/>
    <mergeCell ref="Y19:AB19"/>
    <mergeCell ref="J20:L20"/>
    <mergeCell ref="Y18:AB18"/>
    <mergeCell ref="M22:P22"/>
    <mergeCell ref="Q22:T22"/>
    <mergeCell ref="Q18:T18"/>
    <mergeCell ref="M18:P18"/>
    <mergeCell ref="M19:P19"/>
    <mergeCell ref="M20:P20"/>
    <mergeCell ref="Q20:T20"/>
    <mergeCell ref="Q21:T21"/>
    <mergeCell ref="Q19:T19"/>
    <mergeCell ref="B10:D10"/>
    <mergeCell ref="M9:O9"/>
    <mergeCell ref="M10:O10"/>
    <mergeCell ref="E9:L9"/>
    <mergeCell ref="E10:L10"/>
    <mergeCell ref="B1:BB1"/>
    <mergeCell ref="B3:BB3"/>
    <mergeCell ref="B4:BB4"/>
    <mergeCell ref="B6:BB6"/>
    <mergeCell ref="B2:E2"/>
    <mergeCell ref="F2:BB2"/>
    <mergeCell ref="AU5:BB5"/>
    <mergeCell ref="AE5:AT5"/>
    <mergeCell ref="B11:BB11"/>
    <mergeCell ref="AS12:AS33"/>
    <mergeCell ref="N26:N33"/>
    <mergeCell ref="B9:D9"/>
    <mergeCell ref="P9:W9"/>
    <mergeCell ref="P10:W10"/>
    <mergeCell ref="X9:Z9"/>
    <mergeCell ref="X10:Z10"/>
    <mergeCell ref="AS9:AU9"/>
    <mergeCell ref="AS10:AU10"/>
    <mergeCell ref="AV10:BB10"/>
    <mergeCell ref="AV9:BA9"/>
    <mergeCell ref="AL9:AR9"/>
    <mergeCell ref="AA9:AG9"/>
    <mergeCell ref="AA10:AG10"/>
    <mergeCell ref="AL10:AQ10"/>
    <mergeCell ref="AH9:AK9"/>
    <mergeCell ref="AH10:AK10"/>
  </mergeCells>
  <conditionalFormatting sqref="U15:X24 AC15:AF24 M15:T15 M17:P24">
    <cfRule type="expression" priority="1" dxfId="4" stopIfTrue="1">
      <formula>M15*1&gt;Q15*1</formula>
    </cfRule>
  </conditionalFormatting>
  <conditionalFormatting sqref="J29:K33 F29:G33">
    <cfRule type="expression" priority="2" dxfId="4" stopIfTrue="1">
      <formula>F29*1&gt;H29*1</formula>
    </cfRule>
  </conditionalFormatting>
  <conditionalFormatting sqref="AG29:AL33">
    <cfRule type="cellIs" priority="3" dxfId="4" operator="greaterThan" stopIfTrue="1">
      <formula>AM29</formula>
    </cfRule>
  </conditionalFormatting>
  <conditionalFormatting sqref="F5:T5">
    <cfRule type="cellIs" priority="4" dxfId="6" operator="equal" stopIfTrue="1">
      <formula>$BG$19</formula>
    </cfRule>
  </conditionalFormatting>
  <conditionalFormatting sqref="AE5:AT5">
    <cfRule type="cellIs" priority="5" dxfId="6" operator="equal" stopIfTrue="1">
      <formula>$BH$13</formula>
    </cfRule>
  </conditionalFormatting>
  <conditionalFormatting sqref="AK12:AR14">
    <cfRule type="expression" priority="6" dxfId="7" stopIfTrue="1">
      <formula>OR($BG$13=3,$BG$13=4)</formula>
    </cfRule>
  </conditionalFormatting>
  <conditionalFormatting sqref="H29:I33 L29:M33">
    <cfRule type="cellIs" priority="7" dxfId="4" operator="equal" stopIfTrue="1">
      <formula>"等級を選択"</formula>
    </cfRule>
  </conditionalFormatting>
  <conditionalFormatting sqref="AM29:AR33">
    <cfRule type="expression" priority="8" dxfId="4" stopIfTrue="1">
      <formula>$BG$13=0</formula>
    </cfRule>
  </conditionalFormatting>
  <conditionalFormatting sqref="Q16:T24 Y15:AB24 AG15:AJ24">
    <cfRule type="cellIs" priority="9" dxfId="4" operator="equal" stopIfTrue="1">
      <formula>"値を選択"</formula>
    </cfRule>
    <cfRule type="cellIs" priority="10" dxfId="4" operator="equal" stopIfTrue="1">
      <formula>"等級を選択"</formula>
    </cfRule>
  </conditionalFormatting>
  <conditionalFormatting sqref="AO15:AR24">
    <cfRule type="expression" priority="11" dxfId="7" stopIfTrue="1">
      <formula>OR($BG$13=3,$BG$13=4)</formula>
    </cfRule>
    <cfRule type="cellIs" priority="12" dxfId="4" operator="equal" stopIfTrue="1">
      <formula>"等級を選択"</formula>
    </cfRule>
  </conditionalFormatting>
  <conditionalFormatting sqref="AK15:AN15">
    <cfRule type="cellIs" priority="13" dxfId="4" operator="greaterThan" stopIfTrue="1">
      <formula>AO15</formula>
    </cfRule>
    <cfRule type="expression" priority="14" dxfId="8" stopIfTrue="1">
      <formula>OR($BG$13=3,$BG$13=4)</formula>
    </cfRule>
  </conditionalFormatting>
  <conditionalFormatting sqref="AK16:AN16">
    <cfRule type="cellIs" priority="15" dxfId="4" operator="greaterThan" stopIfTrue="1">
      <formula>AO16*1</formula>
    </cfRule>
    <cfRule type="expression" priority="16" dxfId="8" stopIfTrue="1">
      <formula>OR($BG$13=3,$BG$13=4)</formula>
    </cfRule>
  </conditionalFormatting>
  <conditionalFormatting sqref="M16:P16">
    <cfRule type="expression" priority="17" dxfId="4" stopIfTrue="1">
      <formula>M16*1&gt;Q16*1</formula>
    </cfRule>
  </conditionalFormatting>
  <conditionalFormatting sqref="AK17:AN24">
    <cfRule type="cellIs" priority="18" dxfId="0" operator="greaterThan" stopIfTrue="1">
      <formula>AO17*1</formula>
    </cfRule>
    <cfRule type="expression" priority="19" dxfId="8" stopIfTrue="1">
      <formula>OR($BG$13=3,$BG$13=4)</formula>
    </cfRule>
  </conditionalFormatting>
  <dataValidations count="2">
    <dataValidation type="list" allowBlank="1" showInputMessage="1" showErrorMessage="1" sqref="AE5:AT5">
      <formula1>$BH$13:$BH$15</formula1>
    </dataValidation>
    <dataValidation type="list" allowBlank="1" showInputMessage="1" showErrorMessage="1" sqref="F5">
      <formula1>$BG$19:$BG$23</formula1>
    </dataValidation>
  </dataValidations>
  <hyperlinks>
    <hyperlink ref="B2:E2" location="業務情報!A1" tooltip="業務情報シートに移動" display="業務情報"/>
  </hyperlinks>
  <printOptions horizontalCentered="1"/>
  <pageMargins left="0.3937007874015748" right="0.3937007874015748" top="0.984251968503937" bottom="0.5905511811023623" header="0.5118110236220472" footer="0.5118110236220472"/>
  <pageSetup blackAndWhite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CP57"/>
  <sheetViews>
    <sheetView zoomScale="85" zoomScaleNormal="85" workbookViewId="0" topLeftCell="A10">
      <selection activeCell="AO16" sqref="AO16:AR16"/>
    </sheetView>
  </sheetViews>
  <sheetFormatPr defaultColWidth="8.625" defaultRowHeight="13.5"/>
  <cols>
    <col min="1" max="1" width="5.00390625" style="12" customWidth="1"/>
    <col min="2" max="25" width="2.625" style="12" customWidth="1"/>
    <col min="26" max="28" width="2.625" style="116" customWidth="1"/>
    <col min="29" max="54" width="2.625" style="12" customWidth="1"/>
    <col min="55" max="58" width="12.375" style="0" customWidth="1"/>
    <col min="59" max="59" width="12.375" style="115" customWidth="1"/>
    <col min="60" max="60" width="12.375" style="121" customWidth="1"/>
    <col min="61" max="61" width="12.375" style="12" customWidth="1"/>
    <col min="62" max="64" width="6.375" style="0" customWidth="1"/>
    <col min="65" max="65" width="9.00390625" style="0" customWidth="1"/>
    <col min="66" max="96" width="3.00390625" style="12" customWidth="1"/>
    <col min="97" max="16384" width="1.75390625" style="12" customWidth="1"/>
  </cols>
  <sheetData>
    <row r="1" spans="2:59" ht="21" customHeight="1"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AY1" s="471"/>
      <c r="AZ1" s="471"/>
      <c r="BA1" s="471"/>
      <c r="BB1" s="471"/>
      <c r="BG1" s="121"/>
    </row>
    <row r="2" spans="2:94" ht="24" customHeight="1">
      <c r="B2" s="475" t="s">
        <v>192</v>
      </c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  <c r="V2" s="475"/>
      <c r="W2" s="475"/>
      <c r="X2" s="475"/>
      <c r="Y2" s="475"/>
      <c r="Z2" s="475"/>
      <c r="AA2" s="475"/>
      <c r="AB2" s="475"/>
      <c r="AC2" s="475"/>
      <c r="AD2" s="475"/>
      <c r="AE2" s="475"/>
      <c r="AF2" s="475"/>
      <c r="AG2" s="475"/>
      <c r="AH2" s="475"/>
      <c r="AI2" s="475"/>
      <c r="AJ2" s="475"/>
      <c r="AK2" s="475"/>
      <c r="AL2" s="475"/>
      <c r="AM2" s="475"/>
      <c r="AN2" s="475"/>
      <c r="AO2" s="475"/>
      <c r="AP2" s="475"/>
      <c r="AQ2" s="475"/>
      <c r="AR2" s="475"/>
      <c r="AS2" s="475"/>
      <c r="AT2" s="475"/>
      <c r="AU2" s="475"/>
      <c r="AV2" s="475"/>
      <c r="AW2" s="475"/>
      <c r="AX2" s="475"/>
      <c r="AY2" s="475"/>
      <c r="AZ2" s="475"/>
      <c r="BA2" s="475"/>
      <c r="BB2" s="475"/>
      <c r="BG2" s="121"/>
      <c r="BI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</row>
    <row r="3" spans="2:59" ht="21" customHeight="1">
      <c r="B3" s="458" t="s">
        <v>44</v>
      </c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  <c r="AE3" s="458"/>
      <c r="AF3" s="458"/>
      <c r="AG3" s="458"/>
      <c r="AH3" s="458"/>
      <c r="AI3" s="458"/>
      <c r="AJ3" s="458"/>
      <c r="AK3" s="458"/>
      <c r="AL3" s="458"/>
      <c r="AM3" s="458"/>
      <c r="AN3" s="458"/>
      <c r="AO3" s="458"/>
      <c r="AP3" s="458"/>
      <c r="AQ3" s="458"/>
      <c r="AR3" s="458"/>
      <c r="AS3" s="458"/>
      <c r="AT3" s="458"/>
      <c r="AU3" s="458"/>
      <c r="AV3" s="458"/>
      <c r="AW3" s="458"/>
      <c r="AX3" s="458"/>
      <c r="AY3" s="458"/>
      <c r="AZ3" s="458"/>
      <c r="BA3" s="458"/>
      <c r="BB3" s="458"/>
      <c r="BG3" s="121"/>
    </row>
    <row r="4" spans="2:59" ht="21" customHeight="1" thickBot="1"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AY4" s="471"/>
      <c r="AZ4" s="471"/>
      <c r="BA4" s="471"/>
      <c r="BB4" s="471"/>
      <c r="BG4" s="121"/>
    </row>
    <row r="5" spans="2:59" ht="24" customHeight="1" thickBot="1">
      <c r="B5" s="602" t="s">
        <v>84</v>
      </c>
      <c r="C5" s="603"/>
      <c r="D5" s="603"/>
      <c r="E5" s="604"/>
      <c r="F5" s="807" t="s">
        <v>196</v>
      </c>
      <c r="G5" s="808"/>
      <c r="H5" s="808"/>
      <c r="I5" s="808"/>
      <c r="J5" s="808"/>
      <c r="K5" s="808"/>
      <c r="L5" s="808"/>
      <c r="M5" s="808"/>
      <c r="N5" s="808"/>
      <c r="O5" s="808"/>
      <c r="P5" s="808"/>
      <c r="Q5" s="808"/>
      <c r="R5" s="808"/>
      <c r="S5" s="808"/>
      <c r="T5" s="809"/>
      <c r="U5" s="602" t="s">
        <v>194</v>
      </c>
      <c r="V5" s="603"/>
      <c r="W5" s="603"/>
      <c r="X5" s="603"/>
      <c r="Y5" s="603"/>
      <c r="Z5" s="603"/>
      <c r="AA5" s="603"/>
      <c r="AB5" s="603"/>
      <c r="AC5" s="603"/>
      <c r="AD5" s="604"/>
      <c r="AE5" s="807" t="s">
        <v>195</v>
      </c>
      <c r="AF5" s="808"/>
      <c r="AG5" s="808"/>
      <c r="AH5" s="808"/>
      <c r="AI5" s="808"/>
      <c r="AJ5" s="808"/>
      <c r="AK5" s="808"/>
      <c r="AL5" s="808"/>
      <c r="AM5" s="808"/>
      <c r="AN5" s="808"/>
      <c r="AO5" s="808"/>
      <c r="AP5" s="808"/>
      <c r="AQ5" s="808"/>
      <c r="AR5" s="808"/>
      <c r="AS5" s="808"/>
      <c r="AT5" s="809"/>
      <c r="AU5" s="606"/>
      <c r="AV5" s="471"/>
      <c r="AW5" s="471"/>
      <c r="AX5" s="471"/>
      <c r="AY5" s="471"/>
      <c r="AZ5" s="471"/>
      <c r="BA5" s="471"/>
      <c r="BB5" s="471"/>
      <c r="BG5" s="121"/>
    </row>
    <row r="6" spans="2:61" ht="21" customHeight="1"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G6" s="63"/>
      <c r="BH6" s="63"/>
      <c r="BI6" s="1"/>
    </row>
    <row r="7" spans="2:75" ht="30" customHeight="1">
      <c r="B7" s="834" t="str">
        <f>IF(F5&lt;&gt;BG19,F5&amp;" 精 度 管 理 表",F5)</f>
        <v>1 級 基 準 点 測 量 精 度 管 理 表</v>
      </c>
      <c r="C7" s="834"/>
      <c r="D7" s="834"/>
      <c r="E7" s="834"/>
      <c r="F7" s="834"/>
      <c r="G7" s="834"/>
      <c r="H7" s="834"/>
      <c r="I7" s="834"/>
      <c r="J7" s="834"/>
      <c r="K7" s="834"/>
      <c r="L7" s="834"/>
      <c r="M7" s="834"/>
      <c r="N7" s="834"/>
      <c r="O7" s="834"/>
      <c r="P7" s="834"/>
      <c r="Q7" s="834"/>
      <c r="R7" s="834"/>
      <c r="S7" s="834"/>
      <c r="T7" s="834"/>
      <c r="U7" s="834"/>
      <c r="V7" s="834"/>
      <c r="W7" s="834"/>
      <c r="X7" s="834"/>
      <c r="Y7" s="834"/>
      <c r="Z7" s="834"/>
      <c r="AA7" s="834"/>
      <c r="AB7" s="834"/>
      <c r="AC7" s="834"/>
      <c r="AD7" s="834"/>
      <c r="AE7" s="834"/>
      <c r="AF7" s="834"/>
      <c r="AG7" s="834"/>
      <c r="AH7" s="834"/>
      <c r="AI7" s="834"/>
      <c r="AJ7" s="834"/>
      <c r="AK7" s="834"/>
      <c r="AL7" s="834"/>
      <c r="AM7" s="834"/>
      <c r="AN7" s="834"/>
      <c r="AO7" s="834"/>
      <c r="AP7" s="834"/>
      <c r="AQ7" s="834"/>
      <c r="AR7" s="834"/>
      <c r="AS7" s="834"/>
      <c r="AT7" s="834"/>
      <c r="AU7" s="834"/>
      <c r="AV7" s="834"/>
      <c r="AW7" s="834"/>
      <c r="AX7" s="834"/>
      <c r="AY7" s="834"/>
      <c r="AZ7" s="834"/>
      <c r="BA7" s="834"/>
      <c r="BB7" s="834"/>
      <c r="BI7"/>
      <c r="BN7"/>
      <c r="BO7"/>
      <c r="BP7"/>
      <c r="BQ7"/>
      <c r="BR7"/>
      <c r="BS7"/>
      <c r="BT7"/>
      <c r="BU7"/>
      <c r="BV7"/>
      <c r="BW7"/>
    </row>
    <row r="8" spans="2:75" ht="18.75" customHeight="1">
      <c r="B8" s="729" t="s">
        <v>110</v>
      </c>
      <c r="C8" s="729"/>
      <c r="D8" s="729"/>
      <c r="E8" s="729"/>
      <c r="F8" s="729"/>
      <c r="G8" s="729"/>
      <c r="H8" s="729"/>
      <c r="I8" s="729"/>
      <c r="J8" s="729"/>
      <c r="K8" s="729"/>
      <c r="L8" s="729"/>
      <c r="M8" s="729"/>
      <c r="N8" s="729"/>
      <c r="O8" s="729"/>
      <c r="P8" s="729"/>
      <c r="Q8" s="729"/>
      <c r="R8" s="729"/>
      <c r="S8" s="729"/>
      <c r="T8" s="729"/>
      <c r="U8" s="729"/>
      <c r="V8" s="729"/>
      <c r="W8" s="729"/>
      <c r="X8" s="729"/>
      <c r="Y8" s="729"/>
      <c r="Z8" s="729"/>
      <c r="AA8" s="729"/>
      <c r="AB8" s="729"/>
      <c r="AC8" s="729"/>
      <c r="AD8" s="729"/>
      <c r="AE8" s="729"/>
      <c r="AF8" s="729"/>
      <c r="AG8" s="729"/>
      <c r="AH8" s="729"/>
      <c r="AI8" s="729"/>
      <c r="AJ8" s="729"/>
      <c r="AK8" s="729"/>
      <c r="AL8" s="729"/>
      <c r="AM8" s="729"/>
      <c r="AN8" s="729"/>
      <c r="AO8" s="729"/>
      <c r="AP8" s="729"/>
      <c r="AQ8" s="729"/>
      <c r="AR8" s="729"/>
      <c r="AS8" s="729"/>
      <c r="AT8" s="729"/>
      <c r="AU8" s="729"/>
      <c r="AV8" s="729"/>
      <c r="AW8" s="729"/>
      <c r="AX8" s="729"/>
      <c r="AY8" s="729"/>
      <c r="AZ8" s="729"/>
      <c r="BA8" s="729"/>
      <c r="BB8" s="729"/>
      <c r="BI8"/>
      <c r="BN8"/>
      <c r="BO8"/>
      <c r="BP8"/>
      <c r="BQ8"/>
      <c r="BR8"/>
      <c r="BS8"/>
      <c r="BT8"/>
      <c r="BU8"/>
      <c r="BV8"/>
      <c r="BW8"/>
    </row>
    <row r="9" spans="1:79" s="114" customFormat="1" ht="30" customHeight="1">
      <c r="A9" s="32"/>
      <c r="B9" s="369" t="s">
        <v>45</v>
      </c>
      <c r="C9" s="370"/>
      <c r="D9" s="371"/>
      <c r="E9" s="658"/>
      <c r="F9" s="657"/>
      <c r="G9" s="657"/>
      <c r="H9" s="657"/>
      <c r="I9" s="657"/>
      <c r="J9" s="657"/>
      <c r="K9" s="657"/>
      <c r="L9" s="659"/>
      <c r="M9" s="369" t="s">
        <v>145</v>
      </c>
      <c r="N9" s="370"/>
      <c r="O9" s="371"/>
      <c r="P9" s="658"/>
      <c r="Q9" s="657"/>
      <c r="R9" s="657"/>
      <c r="S9" s="657"/>
      <c r="T9" s="657"/>
      <c r="U9" s="657"/>
      <c r="V9" s="657"/>
      <c r="W9" s="659"/>
      <c r="X9" s="369" t="s">
        <v>126</v>
      </c>
      <c r="Y9" s="370"/>
      <c r="Z9" s="371"/>
      <c r="AA9" s="658"/>
      <c r="AB9" s="657"/>
      <c r="AC9" s="657"/>
      <c r="AD9" s="657"/>
      <c r="AE9" s="657"/>
      <c r="AF9" s="657"/>
      <c r="AG9" s="659"/>
      <c r="AH9" s="369" t="s">
        <v>170</v>
      </c>
      <c r="AI9" s="370"/>
      <c r="AJ9" s="370"/>
      <c r="AK9" s="371"/>
      <c r="AL9" s="658"/>
      <c r="AM9" s="657"/>
      <c r="AN9" s="657"/>
      <c r="AO9" s="657"/>
      <c r="AP9" s="657"/>
      <c r="AQ9" s="657"/>
      <c r="AR9" s="657"/>
      <c r="AS9" s="369" t="s">
        <v>48</v>
      </c>
      <c r="AT9" s="370"/>
      <c r="AU9" s="371"/>
      <c r="AV9" s="847"/>
      <c r="AW9" s="848"/>
      <c r="AX9" s="848"/>
      <c r="AY9" s="848"/>
      <c r="AZ9" s="848"/>
      <c r="BA9" s="848"/>
      <c r="BB9" s="142" t="s">
        <v>125</v>
      </c>
      <c r="BC9"/>
      <c r="BD9"/>
      <c r="BE9"/>
      <c r="BF9"/>
      <c r="BG9" s="159"/>
      <c r="BH9" s="15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</row>
    <row r="10" spans="1:79" ht="30" customHeight="1">
      <c r="A10" s="16"/>
      <c r="B10" s="369" t="s">
        <v>88</v>
      </c>
      <c r="C10" s="370"/>
      <c r="D10" s="371"/>
      <c r="E10" s="658"/>
      <c r="F10" s="657"/>
      <c r="G10" s="657"/>
      <c r="H10" s="657"/>
      <c r="I10" s="657"/>
      <c r="J10" s="657"/>
      <c r="K10" s="657"/>
      <c r="L10" s="659"/>
      <c r="M10" s="369" t="s">
        <v>146</v>
      </c>
      <c r="N10" s="370"/>
      <c r="O10" s="371"/>
      <c r="P10" s="658"/>
      <c r="Q10" s="657"/>
      <c r="R10" s="657"/>
      <c r="S10" s="657"/>
      <c r="T10" s="657"/>
      <c r="U10" s="657"/>
      <c r="V10" s="657"/>
      <c r="W10" s="659"/>
      <c r="X10" s="369" t="s">
        <v>104</v>
      </c>
      <c r="Y10" s="370"/>
      <c r="Z10" s="371"/>
      <c r="AA10" s="844"/>
      <c r="AB10" s="845"/>
      <c r="AC10" s="845"/>
      <c r="AD10" s="845"/>
      <c r="AE10" s="845"/>
      <c r="AF10" s="845"/>
      <c r="AG10" s="846"/>
      <c r="AH10" s="369" t="s">
        <v>51</v>
      </c>
      <c r="AI10" s="370"/>
      <c r="AJ10" s="370"/>
      <c r="AK10" s="371"/>
      <c r="AL10" s="597"/>
      <c r="AM10" s="597"/>
      <c r="AN10" s="597"/>
      <c r="AO10" s="597"/>
      <c r="AP10" s="597"/>
      <c r="AQ10" s="597"/>
      <c r="AR10" s="141" t="s">
        <v>125</v>
      </c>
      <c r="AS10" s="321" t="s">
        <v>52</v>
      </c>
      <c r="AT10" s="314"/>
      <c r="AU10" s="319"/>
      <c r="AV10" s="658"/>
      <c r="AW10" s="657"/>
      <c r="AX10" s="657"/>
      <c r="AY10" s="657"/>
      <c r="AZ10" s="657"/>
      <c r="BA10" s="657"/>
      <c r="BB10" s="659"/>
      <c r="BI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</row>
    <row r="11" spans="1:75" ht="12" customHeight="1">
      <c r="A11"/>
      <c r="B11" s="665"/>
      <c r="C11" s="665"/>
      <c r="D11" s="665"/>
      <c r="E11" s="665"/>
      <c r="F11" s="665"/>
      <c r="G11" s="665"/>
      <c r="H11" s="665"/>
      <c r="I11" s="665"/>
      <c r="J11" s="665"/>
      <c r="K11" s="665"/>
      <c r="L11" s="665"/>
      <c r="M11" s="665"/>
      <c r="N11" s="665"/>
      <c r="O11" s="665"/>
      <c r="P11" s="665"/>
      <c r="Q11" s="665"/>
      <c r="R11" s="665"/>
      <c r="S11" s="665"/>
      <c r="T11" s="665"/>
      <c r="U11" s="665"/>
      <c r="V11" s="665"/>
      <c r="W11" s="665"/>
      <c r="X11" s="665"/>
      <c r="Y11" s="665"/>
      <c r="Z11" s="665"/>
      <c r="AA11" s="665"/>
      <c r="AB11" s="665"/>
      <c r="AC11" s="665"/>
      <c r="AD11" s="665"/>
      <c r="AE11" s="665"/>
      <c r="AF11" s="665"/>
      <c r="AG11" s="665"/>
      <c r="AH11" s="665"/>
      <c r="AI11" s="665"/>
      <c r="AJ11" s="665"/>
      <c r="AK11" s="665"/>
      <c r="AL11" s="665"/>
      <c r="AM11" s="665"/>
      <c r="AN11" s="665"/>
      <c r="AO11" s="665"/>
      <c r="AP11" s="665"/>
      <c r="AQ11" s="665"/>
      <c r="AR11" s="665"/>
      <c r="AS11" s="665"/>
      <c r="AT11" s="665"/>
      <c r="AU11" s="665"/>
      <c r="AV11" s="665"/>
      <c r="AW11" s="665"/>
      <c r="AX11" s="665"/>
      <c r="AY11" s="665"/>
      <c r="AZ11" s="665"/>
      <c r="BA11" s="665"/>
      <c r="BB11" s="665"/>
      <c r="BI11"/>
      <c r="BN11"/>
      <c r="BO11"/>
      <c r="BP11"/>
      <c r="BQ11"/>
      <c r="BR11"/>
      <c r="BS11"/>
      <c r="BT11"/>
      <c r="BU11"/>
      <c r="BV11"/>
      <c r="BW11"/>
    </row>
    <row r="12" spans="1:77" s="16" customFormat="1" ht="18" customHeight="1">
      <c r="A12" s="15"/>
      <c r="B12" s="764" t="s">
        <v>180</v>
      </c>
      <c r="C12" s="765"/>
      <c r="D12" s="765"/>
      <c r="E12" s="765"/>
      <c r="F12" s="765"/>
      <c r="G12" s="765"/>
      <c r="H12" s="765"/>
      <c r="I12" s="765"/>
      <c r="J12" s="765"/>
      <c r="K12" s="765"/>
      <c r="L12" s="766"/>
      <c r="M12" s="764" t="s">
        <v>181</v>
      </c>
      <c r="N12" s="765"/>
      <c r="O12" s="765"/>
      <c r="P12" s="765"/>
      <c r="Q12" s="765"/>
      <c r="R12" s="765"/>
      <c r="S12" s="765"/>
      <c r="T12" s="765"/>
      <c r="U12" s="765"/>
      <c r="V12" s="765"/>
      <c r="W12" s="765"/>
      <c r="X12" s="765"/>
      <c r="Y12" s="765"/>
      <c r="Z12" s="765"/>
      <c r="AA12" s="765"/>
      <c r="AB12" s="765"/>
      <c r="AC12" s="765"/>
      <c r="AD12" s="765"/>
      <c r="AE12" s="765"/>
      <c r="AF12" s="765"/>
      <c r="AG12" s="765"/>
      <c r="AH12" s="765"/>
      <c r="AI12" s="765"/>
      <c r="AJ12" s="766"/>
      <c r="AK12" s="764" t="s">
        <v>199</v>
      </c>
      <c r="AL12" s="765"/>
      <c r="AM12" s="765"/>
      <c r="AN12" s="765"/>
      <c r="AO12" s="765"/>
      <c r="AP12" s="765"/>
      <c r="AQ12" s="765"/>
      <c r="AR12" s="766"/>
      <c r="AS12" s="666"/>
      <c r="AT12" s="764" t="s">
        <v>96</v>
      </c>
      <c r="AU12" s="765"/>
      <c r="AV12" s="765"/>
      <c r="AW12" s="765"/>
      <c r="AX12" s="765"/>
      <c r="AY12" s="765"/>
      <c r="AZ12" s="765"/>
      <c r="BA12" s="765"/>
      <c r="BB12" s="766"/>
      <c r="BC12"/>
      <c r="BD12"/>
      <c r="BE12"/>
      <c r="BF12"/>
      <c r="BG12" s="121"/>
      <c r="BH12" s="121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</row>
    <row r="13" spans="1:77" s="16" customFormat="1" ht="18" customHeight="1">
      <c r="A13" s="15"/>
      <c r="B13" s="764" t="s">
        <v>184</v>
      </c>
      <c r="C13" s="765"/>
      <c r="D13" s="765"/>
      <c r="E13" s="765"/>
      <c r="F13" s="765"/>
      <c r="G13" s="765"/>
      <c r="H13" s="765"/>
      <c r="I13" s="766"/>
      <c r="J13" s="776" t="s">
        <v>185</v>
      </c>
      <c r="K13" s="777"/>
      <c r="L13" s="778"/>
      <c r="M13" s="764" t="s">
        <v>200</v>
      </c>
      <c r="N13" s="765"/>
      <c r="O13" s="765"/>
      <c r="P13" s="765"/>
      <c r="Q13" s="765"/>
      <c r="R13" s="765"/>
      <c r="S13" s="765"/>
      <c r="T13" s="766"/>
      <c r="U13" s="764" t="s">
        <v>201</v>
      </c>
      <c r="V13" s="765"/>
      <c r="W13" s="765"/>
      <c r="X13" s="765"/>
      <c r="Y13" s="765"/>
      <c r="Z13" s="765"/>
      <c r="AA13" s="765"/>
      <c r="AB13" s="766"/>
      <c r="AC13" s="764" t="s">
        <v>202</v>
      </c>
      <c r="AD13" s="765"/>
      <c r="AE13" s="765"/>
      <c r="AF13" s="765"/>
      <c r="AG13" s="765"/>
      <c r="AH13" s="765"/>
      <c r="AI13" s="765"/>
      <c r="AJ13" s="766"/>
      <c r="AK13" s="764" t="s">
        <v>186</v>
      </c>
      <c r="AL13" s="765"/>
      <c r="AM13" s="765"/>
      <c r="AN13" s="765"/>
      <c r="AO13" s="765"/>
      <c r="AP13" s="765"/>
      <c r="AQ13" s="765"/>
      <c r="AR13" s="766"/>
      <c r="AS13" s="666"/>
      <c r="AT13" s="733"/>
      <c r="AU13" s="734"/>
      <c r="AV13" s="734"/>
      <c r="AW13" s="734"/>
      <c r="AX13" s="734"/>
      <c r="AY13" s="734"/>
      <c r="AZ13" s="734"/>
      <c r="BA13" s="734"/>
      <c r="BB13" s="735"/>
      <c r="BC13"/>
      <c r="BD13"/>
      <c r="BE13"/>
      <c r="BF13"/>
      <c r="BG13" s="111">
        <f>IF(F5=BG19,0,IF(F5=BG20,1,IF(F5=BG21,2,IF(F5=BG22,3,4))))</f>
        <v>1</v>
      </c>
      <c r="BH13" s="63" t="s">
        <v>203</v>
      </c>
      <c r="BI13" s="1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</row>
    <row r="14" spans="1:77" ht="18" customHeight="1">
      <c r="A14" s="15"/>
      <c r="B14" s="810" t="s">
        <v>188</v>
      </c>
      <c r="C14" s="811"/>
      <c r="D14" s="811"/>
      <c r="E14" s="812"/>
      <c r="F14" s="810" t="s">
        <v>189</v>
      </c>
      <c r="G14" s="811"/>
      <c r="H14" s="811"/>
      <c r="I14" s="812"/>
      <c r="J14" s="779"/>
      <c r="K14" s="780"/>
      <c r="L14" s="781"/>
      <c r="M14" s="764" t="s">
        <v>204</v>
      </c>
      <c r="N14" s="765"/>
      <c r="O14" s="765"/>
      <c r="P14" s="766"/>
      <c r="Q14" s="764" t="s">
        <v>173</v>
      </c>
      <c r="R14" s="765"/>
      <c r="S14" s="765"/>
      <c r="T14" s="766"/>
      <c r="U14" s="764" t="s">
        <v>204</v>
      </c>
      <c r="V14" s="765"/>
      <c r="W14" s="765"/>
      <c r="X14" s="766"/>
      <c r="Y14" s="764" t="s">
        <v>173</v>
      </c>
      <c r="Z14" s="765"/>
      <c r="AA14" s="765"/>
      <c r="AB14" s="766"/>
      <c r="AC14" s="764" t="s">
        <v>204</v>
      </c>
      <c r="AD14" s="765"/>
      <c r="AE14" s="765"/>
      <c r="AF14" s="766"/>
      <c r="AG14" s="764" t="s">
        <v>173</v>
      </c>
      <c r="AH14" s="765"/>
      <c r="AI14" s="765"/>
      <c r="AJ14" s="766"/>
      <c r="AK14" s="764" t="s">
        <v>204</v>
      </c>
      <c r="AL14" s="765"/>
      <c r="AM14" s="765"/>
      <c r="AN14" s="766"/>
      <c r="AO14" s="764" t="s">
        <v>173</v>
      </c>
      <c r="AP14" s="765"/>
      <c r="AQ14" s="765"/>
      <c r="AR14" s="766"/>
      <c r="AS14" s="666"/>
      <c r="AT14" s="733"/>
      <c r="AU14" s="734"/>
      <c r="AV14" s="734"/>
      <c r="AW14" s="734"/>
      <c r="AX14" s="734"/>
      <c r="AY14" s="734"/>
      <c r="AZ14" s="734"/>
      <c r="BA14" s="734"/>
      <c r="BB14" s="735"/>
      <c r="BG14" s="63"/>
      <c r="BH14" s="63" t="s">
        <v>205</v>
      </c>
      <c r="BI14" s="1"/>
      <c r="BN14"/>
      <c r="BO14"/>
      <c r="BP14"/>
      <c r="BQ14"/>
      <c r="BR14"/>
      <c r="BS14"/>
      <c r="BT14"/>
      <c r="BU14"/>
      <c r="BV14"/>
      <c r="BW14"/>
      <c r="BX14"/>
      <c r="BY14"/>
    </row>
    <row r="15" spans="1:77" ht="17.25" customHeight="1">
      <c r="A15" s="15"/>
      <c r="B15" s="813"/>
      <c r="C15" s="814"/>
      <c r="D15" s="814"/>
      <c r="E15" s="815"/>
      <c r="F15" s="813"/>
      <c r="G15" s="814"/>
      <c r="H15" s="814"/>
      <c r="I15" s="815"/>
      <c r="J15" s="816">
        <v>1</v>
      </c>
      <c r="K15" s="817"/>
      <c r="L15" s="818"/>
      <c r="M15" s="841">
        <v>2</v>
      </c>
      <c r="N15" s="842"/>
      <c r="O15" s="842"/>
      <c r="P15" s="843"/>
      <c r="Q15" s="767">
        <f>IF(OR(M15="",J15=""),"",IF($BG$13=0,"等級を選択",IF($BG$15=0,"値を選択",IF($BG$15=1,TEXT(0.02,"0.000"),INDEX($BH$20:$BH$23,$BG$13)))))</f>
        <v>5</v>
      </c>
      <c r="R15" s="768"/>
      <c r="S15" s="768"/>
      <c r="T15" s="769"/>
      <c r="U15" s="816">
        <v>0.1</v>
      </c>
      <c r="V15" s="817"/>
      <c r="W15" s="817"/>
      <c r="X15" s="818"/>
      <c r="Y15" s="685" t="str">
        <f>IF(OR(J15="",U15=""),"",IF($BG$13=0,"等級を選択",IF($BG$15=0,"値を選択",IF($BG$15=1,TEXT(0.02,"0.000"),FIXED(0.02+4*10^-6*J15,3)))))</f>
        <v>0.020</v>
      </c>
      <c r="Z15" s="686"/>
      <c r="AA15" s="686"/>
      <c r="AB15" s="687"/>
      <c r="AC15" s="816">
        <v>0.1</v>
      </c>
      <c r="AD15" s="817"/>
      <c r="AE15" s="817"/>
      <c r="AF15" s="818"/>
      <c r="AG15" s="685" t="str">
        <f>IF(OR(AC15="",J15=""),"",IF($BG$13=0,"等級を選択",IF($BG$15=0,"値を選択",IF($BG$15=1,TEXT(0.02,"0.000"),FIXED(0.03+4*10^-6*J15,3)))))</f>
        <v>0.030</v>
      </c>
      <c r="AH15" s="686"/>
      <c r="AI15" s="686"/>
      <c r="AJ15" s="687"/>
      <c r="AK15" s="816">
        <v>0.1</v>
      </c>
      <c r="AL15" s="817"/>
      <c r="AM15" s="817"/>
      <c r="AN15" s="818"/>
      <c r="AO15" s="685" t="str">
        <f>IF(OR(AK15="",J15=""),"",IF($BG$13=0,"等級を選択",IF($BG$13=0,"",IF($BG$13=1,TEXT(0.08,"0.000"),IF($BG$13=2,TEXT(0.1,"0.000"),"")))))</f>
        <v>0.080</v>
      </c>
      <c r="AP15" s="686"/>
      <c r="AQ15" s="686"/>
      <c r="AR15" s="687"/>
      <c r="AS15" s="666"/>
      <c r="AT15" s="733"/>
      <c r="AU15" s="734"/>
      <c r="AV15" s="734"/>
      <c r="AW15" s="734"/>
      <c r="AX15" s="734"/>
      <c r="AY15" s="734"/>
      <c r="AZ15" s="734"/>
      <c r="BA15" s="734"/>
      <c r="BB15" s="735"/>
      <c r="BG15" s="63">
        <f>IF(AE5=BH13,0,IF(AE5=BH14,1,2))</f>
        <v>2</v>
      </c>
      <c r="BH15" s="63" t="s">
        <v>195</v>
      </c>
      <c r="BI15" s="1"/>
      <c r="BN15"/>
      <c r="BO15"/>
      <c r="BP15"/>
      <c r="BQ15"/>
      <c r="BR15"/>
      <c r="BS15"/>
      <c r="BT15"/>
      <c r="BU15"/>
      <c r="BV15"/>
      <c r="BW15"/>
      <c r="BX15"/>
      <c r="BY15"/>
    </row>
    <row r="16" spans="1:77" ht="17.25" customHeight="1">
      <c r="A16" s="15"/>
      <c r="B16" s="748"/>
      <c r="C16" s="749"/>
      <c r="D16" s="749"/>
      <c r="E16" s="750"/>
      <c r="F16" s="748"/>
      <c r="G16" s="749"/>
      <c r="H16" s="749"/>
      <c r="I16" s="750"/>
      <c r="J16" s="676">
        <v>2</v>
      </c>
      <c r="K16" s="677"/>
      <c r="L16" s="678"/>
      <c r="M16" s="825">
        <v>2</v>
      </c>
      <c r="N16" s="826"/>
      <c r="O16" s="826"/>
      <c r="P16" s="827"/>
      <c r="Q16" s="767">
        <f aca="true" t="shared" si="0" ref="Q16:Q24">IF(OR(M16="",J16=""),"",IF($BG$13=0,"等級を選択",IF($BG$15=0,"値を選択",IF($BG$15=1,TEXT(0.02,"0.000"),INDEX($BH$20:$BH$23,$BG$13)))))</f>
        <v>5</v>
      </c>
      <c r="R16" s="768"/>
      <c r="S16" s="768"/>
      <c r="T16" s="769"/>
      <c r="U16" s="676">
        <v>0.2</v>
      </c>
      <c r="V16" s="677"/>
      <c r="W16" s="677"/>
      <c r="X16" s="678"/>
      <c r="Y16" s="685" t="str">
        <f aca="true" t="shared" si="1" ref="Y16:Y24">IF(OR(J16="",U16=""),"",IF($BG$13=0,"等級を選択",IF($BG$15=0,"値を選択",IF($BG$15=1,TEXT(0.02,"0.000"),FIXED(0.02+4*10^-6*J16,3)))))</f>
        <v>0.020</v>
      </c>
      <c r="Z16" s="686"/>
      <c r="AA16" s="686"/>
      <c r="AB16" s="687"/>
      <c r="AC16" s="676">
        <v>0.2</v>
      </c>
      <c r="AD16" s="677"/>
      <c r="AE16" s="677"/>
      <c r="AF16" s="678"/>
      <c r="AG16" s="685" t="str">
        <f aca="true" t="shared" si="2" ref="AG16:AG24">IF(OR(AC16="",J16=""),"",IF($BG$13=0,"等級を選択",IF($BG$15=0,"値を選択",IF($BG$15=1,TEXT(0.02,"0.000"),FIXED(0.03+4*10^-6*J16,3)))))</f>
        <v>0.030</v>
      </c>
      <c r="AH16" s="686"/>
      <c r="AI16" s="686"/>
      <c r="AJ16" s="687"/>
      <c r="AK16" s="676">
        <v>0.1</v>
      </c>
      <c r="AL16" s="677"/>
      <c r="AM16" s="677"/>
      <c r="AN16" s="678"/>
      <c r="AO16" s="685" t="str">
        <f aca="true" t="shared" si="3" ref="AO16:AO24">IF(OR(AK16="",J16=""),"",IF($BG$13=0,"等級を選択",IF($BG$13=0,"",IF($BG$13=1,TEXT(0.08,"0.000"),IF($BG$13=2,TEXT(0.1,"0.000"),"")))))</f>
        <v>0.080</v>
      </c>
      <c r="AP16" s="686"/>
      <c r="AQ16" s="686"/>
      <c r="AR16" s="687"/>
      <c r="AS16" s="666"/>
      <c r="AT16" s="733"/>
      <c r="AU16" s="734"/>
      <c r="AV16" s="734"/>
      <c r="AW16" s="734"/>
      <c r="AX16" s="734"/>
      <c r="AY16" s="734"/>
      <c r="AZ16" s="734"/>
      <c r="BA16" s="734"/>
      <c r="BB16" s="735"/>
      <c r="BG16" s="121"/>
      <c r="BI16"/>
      <c r="BN16"/>
      <c r="BO16"/>
      <c r="BP16"/>
      <c r="BQ16"/>
      <c r="BR16"/>
      <c r="BS16"/>
      <c r="BT16"/>
      <c r="BU16"/>
      <c r="BV16"/>
      <c r="BW16"/>
      <c r="BX16"/>
      <c r="BY16"/>
    </row>
    <row r="17" spans="1:77" ht="17.25" customHeight="1">
      <c r="A17" s="15"/>
      <c r="B17" s="748"/>
      <c r="C17" s="749"/>
      <c r="D17" s="749"/>
      <c r="E17" s="750"/>
      <c r="F17" s="748"/>
      <c r="G17" s="749"/>
      <c r="H17" s="749"/>
      <c r="I17" s="750"/>
      <c r="J17" s="676">
        <v>3</v>
      </c>
      <c r="K17" s="677"/>
      <c r="L17" s="678"/>
      <c r="M17" s="825">
        <v>3</v>
      </c>
      <c r="N17" s="826"/>
      <c r="O17" s="826"/>
      <c r="P17" s="827"/>
      <c r="Q17" s="767">
        <f t="shared" si="0"/>
        <v>5</v>
      </c>
      <c r="R17" s="768"/>
      <c r="S17" s="768"/>
      <c r="T17" s="769"/>
      <c r="U17" s="676">
        <v>0.3</v>
      </c>
      <c r="V17" s="677"/>
      <c r="W17" s="677"/>
      <c r="X17" s="678"/>
      <c r="Y17" s="685" t="str">
        <f t="shared" si="1"/>
        <v>0.020</v>
      </c>
      <c r="Z17" s="686"/>
      <c r="AA17" s="686"/>
      <c r="AB17" s="687"/>
      <c r="AC17" s="676">
        <v>0.3</v>
      </c>
      <c r="AD17" s="677"/>
      <c r="AE17" s="677"/>
      <c r="AF17" s="678"/>
      <c r="AG17" s="685" t="str">
        <f t="shared" si="2"/>
        <v>0.030</v>
      </c>
      <c r="AH17" s="686"/>
      <c r="AI17" s="686"/>
      <c r="AJ17" s="687"/>
      <c r="AK17" s="676"/>
      <c r="AL17" s="677"/>
      <c r="AM17" s="677"/>
      <c r="AN17" s="678"/>
      <c r="AO17" s="685">
        <f t="shared" si="3"/>
      </c>
      <c r="AP17" s="686"/>
      <c r="AQ17" s="686"/>
      <c r="AR17" s="687"/>
      <c r="AS17" s="666"/>
      <c r="AT17" s="733"/>
      <c r="AU17" s="734"/>
      <c r="AV17" s="734"/>
      <c r="AW17" s="734"/>
      <c r="AX17" s="734"/>
      <c r="AY17" s="734"/>
      <c r="AZ17" s="734"/>
      <c r="BA17" s="734"/>
      <c r="BB17" s="735"/>
      <c r="BG17" s="121"/>
      <c r="BI17"/>
      <c r="BN17"/>
      <c r="BO17"/>
      <c r="BP17"/>
      <c r="BQ17"/>
      <c r="BR17"/>
      <c r="BS17"/>
      <c r="BT17"/>
      <c r="BU17"/>
      <c r="BV17"/>
      <c r="BW17"/>
      <c r="BX17"/>
      <c r="BY17"/>
    </row>
    <row r="18" spans="1:77" ht="17.25" customHeight="1">
      <c r="A18" s="15"/>
      <c r="B18" s="748"/>
      <c r="C18" s="749"/>
      <c r="D18" s="749"/>
      <c r="E18" s="750"/>
      <c r="F18" s="748"/>
      <c r="G18" s="749"/>
      <c r="H18" s="749"/>
      <c r="I18" s="750"/>
      <c r="J18" s="676">
        <v>4</v>
      </c>
      <c r="K18" s="677"/>
      <c r="L18" s="678"/>
      <c r="M18" s="825">
        <v>4</v>
      </c>
      <c r="N18" s="826"/>
      <c r="O18" s="826"/>
      <c r="P18" s="827"/>
      <c r="Q18" s="767">
        <f t="shared" si="0"/>
        <v>5</v>
      </c>
      <c r="R18" s="768"/>
      <c r="S18" s="768"/>
      <c r="T18" s="769"/>
      <c r="U18" s="676">
        <v>0.4</v>
      </c>
      <c r="V18" s="677"/>
      <c r="W18" s="677"/>
      <c r="X18" s="678"/>
      <c r="Y18" s="685" t="str">
        <f t="shared" si="1"/>
        <v>0.020</v>
      </c>
      <c r="Z18" s="686"/>
      <c r="AA18" s="686"/>
      <c r="AB18" s="687"/>
      <c r="AC18" s="676">
        <v>0.4</v>
      </c>
      <c r="AD18" s="677"/>
      <c r="AE18" s="677"/>
      <c r="AF18" s="678"/>
      <c r="AG18" s="685" t="str">
        <f t="shared" si="2"/>
        <v>0.030</v>
      </c>
      <c r="AH18" s="686"/>
      <c r="AI18" s="686"/>
      <c r="AJ18" s="687"/>
      <c r="AK18" s="676"/>
      <c r="AL18" s="677"/>
      <c r="AM18" s="677"/>
      <c r="AN18" s="678"/>
      <c r="AO18" s="685">
        <f t="shared" si="3"/>
      </c>
      <c r="AP18" s="686"/>
      <c r="AQ18" s="686"/>
      <c r="AR18" s="687"/>
      <c r="AS18" s="666"/>
      <c r="AT18" s="733"/>
      <c r="AU18" s="734"/>
      <c r="AV18" s="734"/>
      <c r="AW18" s="734"/>
      <c r="AX18" s="734"/>
      <c r="AY18" s="734"/>
      <c r="AZ18" s="734"/>
      <c r="BA18" s="734"/>
      <c r="BB18" s="735"/>
      <c r="BG18" s="121"/>
      <c r="BI18"/>
      <c r="BN18"/>
      <c r="BO18"/>
      <c r="BP18"/>
      <c r="BQ18"/>
      <c r="BR18"/>
      <c r="BS18"/>
      <c r="BT18"/>
      <c r="BU18"/>
      <c r="BV18"/>
      <c r="BW18"/>
      <c r="BX18"/>
      <c r="BY18"/>
    </row>
    <row r="19" spans="1:78" ht="17.25" customHeight="1">
      <c r="A19" s="15"/>
      <c r="B19" s="748"/>
      <c r="C19" s="749"/>
      <c r="D19" s="749"/>
      <c r="E19" s="750"/>
      <c r="F19" s="748"/>
      <c r="G19" s="749"/>
      <c r="H19" s="749"/>
      <c r="I19" s="750"/>
      <c r="J19" s="676">
        <v>5</v>
      </c>
      <c r="K19" s="677"/>
      <c r="L19" s="678"/>
      <c r="M19" s="825">
        <v>5</v>
      </c>
      <c r="N19" s="826"/>
      <c r="O19" s="826"/>
      <c r="P19" s="827"/>
      <c r="Q19" s="767">
        <f t="shared" si="0"/>
        <v>5</v>
      </c>
      <c r="R19" s="768"/>
      <c r="S19" s="768"/>
      <c r="T19" s="769"/>
      <c r="U19" s="676">
        <v>0.5</v>
      </c>
      <c r="V19" s="677"/>
      <c r="W19" s="677"/>
      <c r="X19" s="678"/>
      <c r="Y19" s="685" t="str">
        <f t="shared" si="1"/>
        <v>0.020</v>
      </c>
      <c r="Z19" s="686"/>
      <c r="AA19" s="686"/>
      <c r="AB19" s="687"/>
      <c r="AC19" s="676">
        <v>0.5</v>
      </c>
      <c r="AD19" s="677"/>
      <c r="AE19" s="677"/>
      <c r="AF19" s="678"/>
      <c r="AG19" s="685" t="str">
        <f t="shared" si="2"/>
        <v>0.030</v>
      </c>
      <c r="AH19" s="686"/>
      <c r="AI19" s="686"/>
      <c r="AJ19" s="687"/>
      <c r="AK19" s="676"/>
      <c r="AL19" s="677"/>
      <c r="AM19" s="677"/>
      <c r="AN19" s="678"/>
      <c r="AO19" s="685">
        <f t="shared" si="3"/>
      </c>
      <c r="AP19" s="686"/>
      <c r="AQ19" s="686"/>
      <c r="AR19" s="687"/>
      <c r="AS19" s="666"/>
      <c r="AT19" s="746"/>
      <c r="AU19" s="599"/>
      <c r="AV19" s="599"/>
      <c r="AW19" s="599"/>
      <c r="AX19" s="599"/>
      <c r="AY19" s="599"/>
      <c r="AZ19" s="599"/>
      <c r="BA19" s="599"/>
      <c r="BB19" s="747"/>
      <c r="BG19" s="118" t="s">
        <v>122</v>
      </c>
      <c r="BH19" s="160"/>
      <c r="BI19"/>
      <c r="BN19"/>
      <c r="BO19"/>
      <c r="BP19"/>
      <c r="BQ19"/>
      <c r="BR19"/>
      <c r="BS19"/>
      <c r="BT19"/>
      <c r="BU19"/>
      <c r="BV19"/>
      <c r="BW19"/>
      <c r="BX19"/>
      <c r="BY19"/>
      <c r="BZ19"/>
    </row>
    <row r="20" spans="1:79" ht="17.25" customHeight="1">
      <c r="A20" s="15"/>
      <c r="B20" s="748"/>
      <c r="C20" s="749"/>
      <c r="D20" s="749"/>
      <c r="E20" s="750"/>
      <c r="F20" s="748"/>
      <c r="G20" s="749"/>
      <c r="H20" s="749"/>
      <c r="I20" s="750"/>
      <c r="J20" s="676">
        <v>6</v>
      </c>
      <c r="K20" s="677"/>
      <c r="L20" s="678"/>
      <c r="M20" s="825">
        <v>6</v>
      </c>
      <c r="N20" s="826"/>
      <c r="O20" s="826"/>
      <c r="P20" s="827"/>
      <c r="Q20" s="767">
        <f t="shared" si="0"/>
        <v>5</v>
      </c>
      <c r="R20" s="768"/>
      <c r="S20" s="768"/>
      <c r="T20" s="769"/>
      <c r="U20" s="676">
        <v>0.6</v>
      </c>
      <c r="V20" s="677"/>
      <c r="W20" s="677"/>
      <c r="X20" s="678"/>
      <c r="Y20" s="685" t="str">
        <f t="shared" si="1"/>
        <v>0.020</v>
      </c>
      <c r="Z20" s="686"/>
      <c r="AA20" s="686"/>
      <c r="AB20" s="687"/>
      <c r="AC20" s="676">
        <v>0.6</v>
      </c>
      <c r="AD20" s="677"/>
      <c r="AE20" s="677"/>
      <c r="AF20" s="678"/>
      <c r="AG20" s="685" t="str">
        <f t="shared" si="2"/>
        <v>0.030</v>
      </c>
      <c r="AH20" s="686"/>
      <c r="AI20" s="686"/>
      <c r="AJ20" s="687"/>
      <c r="AK20" s="676"/>
      <c r="AL20" s="677"/>
      <c r="AM20" s="677"/>
      <c r="AN20" s="678"/>
      <c r="AO20" s="685">
        <f t="shared" si="3"/>
      </c>
      <c r="AP20" s="686"/>
      <c r="AQ20" s="686"/>
      <c r="AR20" s="687"/>
      <c r="AS20" s="666"/>
      <c r="AT20" s="804" t="s">
        <v>175</v>
      </c>
      <c r="AU20" s="805"/>
      <c r="AV20" s="805"/>
      <c r="AW20" s="805"/>
      <c r="AX20" s="805"/>
      <c r="AY20" s="805"/>
      <c r="AZ20" s="805"/>
      <c r="BA20" s="805"/>
      <c r="BB20" s="806"/>
      <c r="BG20" s="119" t="s">
        <v>196</v>
      </c>
      <c r="BH20" s="161">
        <v>5</v>
      </c>
      <c r="BI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1:79" ht="17.25" customHeight="1">
      <c r="A21" s="15"/>
      <c r="B21" s="748"/>
      <c r="C21" s="749"/>
      <c r="D21" s="749"/>
      <c r="E21" s="750"/>
      <c r="F21" s="748"/>
      <c r="G21" s="749"/>
      <c r="H21" s="749"/>
      <c r="I21" s="750"/>
      <c r="J21" s="676">
        <v>7</v>
      </c>
      <c r="K21" s="677"/>
      <c r="L21" s="678"/>
      <c r="M21" s="825">
        <v>7</v>
      </c>
      <c r="N21" s="826"/>
      <c r="O21" s="826"/>
      <c r="P21" s="827"/>
      <c r="Q21" s="767">
        <f t="shared" si="0"/>
        <v>5</v>
      </c>
      <c r="R21" s="768"/>
      <c r="S21" s="768"/>
      <c r="T21" s="769"/>
      <c r="U21" s="676">
        <v>0.7</v>
      </c>
      <c r="V21" s="677"/>
      <c r="W21" s="677"/>
      <c r="X21" s="678"/>
      <c r="Y21" s="685" t="str">
        <f t="shared" si="1"/>
        <v>0.020</v>
      </c>
      <c r="Z21" s="686"/>
      <c r="AA21" s="686"/>
      <c r="AB21" s="687"/>
      <c r="AC21" s="676">
        <v>0.7</v>
      </c>
      <c r="AD21" s="677"/>
      <c r="AE21" s="677"/>
      <c r="AF21" s="678"/>
      <c r="AG21" s="685" t="str">
        <f t="shared" si="2"/>
        <v>0.030</v>
      </c>
      <c r="AH21" s="686"/>
      <c r="AI21" s="686"/>
      <c r="AJ21" s="687"/>
      <c r="AK21" s="676"/>
      <c r="AL21" s="677"/>
      <c r="AM21" s="677"/>
      <c r="AN21" s="678"/>
      <c r="AO21" s="685">
        <f t="shared" si="3"/>
      </c>
      <c r="AP21" s="686"/>
      <c r="AQ21" s="686"/>
      <c r="AR21" s="687"/>
      <c r="AS21" s="666"/>
      <c r="AT21" s="764" t="s">
        <v>176</v>
      </c>
      <c r="AU21" s="765"/>
      <c r="AV21" s="766"/>
      <c r="AW21" s="764" t="s">
        <v>177</v>
      </c>
      <c r="AX21" s="765"/>
      <c r="AY21" s="766"/>
      <c r="AZ21" s="764" t="s">
        <v>178</v>
      </c>
      <c r="BA21" s="765"/>
      <c r="BB21" s="766"/>
      <c r="BG21" s="119" t="s">
        <v>197</v>
      </c>
      <c r="BH21" s="162">
        <v>10</v>
      </c>
      <c r="BI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1:79" ht="17.25" customHeight="1">
      <c r="A22" s="15"/>
      <c r="B22" s="748"/>
      <c r="C22" s="749"/>
      <c r="D22" s="749"/>
      <c r="E22" s="750"/>
      <c r="F22" s="748"/>
      <c r="G22" s="749"/>
      <c r="H22" s="749"/>
      <c r="I22" s="750"/>
      <c r="J22" s="676"/>
      <c r="K22" s="677"/>
      <c r="L22" s="678"/>
      <c r="M22" s="825">
        <v>8</v>
      </c>
      <c r="N22" s="826"/>
      <c r="O22" s="826"/>
      <c r="P22" s="827"/>
      <c r="Q22" s="767">
        <f t="shared" si="0"/>
      </c>
      <c r="R22" s="768"/>
      <c r="S22" s="768"/>
      <c r="T22" s="769"/>
      <c r="U22" s="676">
        <v>8</v>
      </c>
      <c r="V22" s="677"/>
      <c r="W22" s="677"/>
      <c r="X22" s="678"/>
      <c r="Y22" s="685">
        <f t="shared" si="1"/>
      </c>
      <c r="Z22" s="686"/>
      <c r="AA22" s="686"/>
      <c r="AB22" s="687"/>
      <c r="AC22" s="676">
        <v>0.8</v>
      </c>
      <c r="AD22" s="677"/>
      <c r="AE22" s="677"/>
      <c r="AF22" s="678"/>
      <c r="AG22" s="685">
        <f t="shared" si="2"/>
      </c>
      <c r="AH22" s="686"/>
      <c r="AI22" s="686"/>
      <c r="AJ22" s="687"/>
      <c r="AK22" s="676"/>
      <c r="AL22" s="677"/>
      <c r="AM22" s="677"/>
      <c r="AN22" s="678"/>
      <c r="AO22" s="685">
        <f t="shared" si="3"/>
      </c>
      <c r="AP22" s="686"/>
      <c r="AQ22" s="686"/>
      <c r="AR22" s="687"/>
      <c r="AS22" s="666"/>
      <c r="AT22" s="733"/>
      <c r="AU22" s="734"/>
      <c r="AV22" s="735"/>
      <c r="AW22" s="733"/>
      <c r="AX22" s="734"/>
      <c r="AY22" s="735"/>
      <c r="AZ22" s="734"/>
      <c r="BA22" s="734"/>
      <c r="BB22" s="735"/>
      <c r="BG22" s="119" t="s">
        <v>198</v>
      </c>
      <c r="BH22" s="162">
        <v>20</v>
      </c>
      <c r="BI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1:78" ht="17.25" customHeight="1">
      <c r="A23" s="15"/>
      <c r="B23" s="748"/>
      <c r="C23" s="749"/>
      <c r="D23" s="749"/>
      <c r="E23" s="750"/>
      <c r="F23" s="748"/>
      <c r="G23" s="749"/>
      <c r="H23" s="749"/>
      <c r="I23" s="750"/>
      <c r="J23" s="676"/>
      <c r="K23" s="677"/>
      <c r="L23" s="678"/>
      <c r="M23" s="825">
        <v>9</v>
      </c>
      <c r="N23" s="826"/>
      <c r="O23" s="826"/>
      <c r="P23" s="827"/>
      <c r="Q23" s="767">
        <f t="shared" si="0"/>
      </c>
      <c r="R23" s="768"/>
      <c r="S23" s="768"/>
      <c r="T23" s="769"/>
      <c r="U23" s="676">
        <v>9</v>
      </c>
      <c r="V23" s="677"/>
      <c r="W23" s="677"/>
      <c r="X23" s="678"/>
      <c r="Y23" s="685">
        <f t="shared" si="1"/>
      </c>
      <c r="Z23" s="686"/>
      <c r="AA23" s="686"/>
      <c r="AB23" s="687"/>
      <c r="AC23" s="676">
        <v>9</v>
      </c>
      <c r="AD23" s="677"/>
      <c r="AE23" s="677"/>
      <c r="AF23" s="678"/>
      <c r="AG23" s="685">
        <f t="shared" si="2"/>
      </c>
      <c r="AH23" s="686"/>
      <c r="AI23" s="686"/>
      <c r="AJ23" s="687"/>
      <c r="AK23" s="676"/>
      <c r="AL23" s="677"/>
      <c r="AM23" s="677"/>
      <c r="AN23" s="678"/>
      <c r="AO23" s="685">
        <f t="shared" si="3"/>
      </c>
      <c r="AP23" s="686"/>
      <c r="AQ23" s="686"/>
      <c r="AR23" s="687"/>
      <c r="AS23" s="666"/>
      <c r="AT23" s="733"/>
      <c r="AU23" s="734"/>
      <c r="AV23" s="735"/>
      <c r="AW23" s="733"/>
      <c r="AX23" s="734"/>
      <c r="AY23" s="735"/>
      <c r="AZ23" s="734"/>
      <c r="BA23" s="734"/>
      <c r="BB23" s="735"/>
      <c r="BG23" s="120" t="s">
        <v>193</v>
      </c>
      <c r="BH23" s="163">
        <v>80</v>
      </c>
      <c r="BI23"/>
      <c r="BN23"/>
      <c r="BO23"/>
      <c r="BP23"/>
      <c r="BQ23"/>
      <c r="BR23"/>
      <c r="BS23"/>
      <c r="BT23"/>
      <c r="BU23"/>
      <c r="BV23"/>
      <c r="BW23"/>
      <c r="BX23"/>
      <c r="BY23"/>
      <c r="BZ23"/>
    </row>
    <row r="24" spans="1:78" ht="17.25" customHeight="1">
      <c r="A24" s="15"/>
      <c r="B24" s="713"/>
      <c r="C24" s="714"/>
      <c r="D24" s="714"/>
      <c r="E24" s="715"/>
      <c r="F24" s="713"/>
      <c r="G24" s="714"/>
      <c r="H24" s="714"/>
      <c r="I24" s="715"/>
      <c r="J24" s="761"/>
      <c r="K24" s="762"/>
      <c r="L24" s="763"/>
      <c r="M24" s="831">
        <v>10</v>
      </c>
      <c r="N24" s="832"/>
      <c r="O24" s="832"/>
      <c r="P24" s="833"/>
      <c r="Q24" s="838">
        <f t="shared" si="0"/>
      </c>
      <c r="R24" s="839"/>
      <c r="S24" s="839"/>
      <c r="T24" s="840"/>
      <c r="U24" s="761">
        <v>10</v>
      </c>
      <c r="V24" s="762"/>
      <c r="W24" s="762"/>
      <c r="X24" s="763"/>
      <c r="Y24" s="801">
        <f t="shared" si="1"/>
      </c>
      <c r="Z24" s="802"/>
      <c r="AA24" s="802"/>
      <c r="AB24" s="803"/>
      <c r="AC24" s="761">
        <v>0.1</v>
      </c>
      <c r="AD24" s="762"/>
      <c r="AE24" s="762"/>
      <c r="AF24" s="763"/>
      <c r="AG24" s="801">
        <f t="shared" si="2"/>
      </c>
      <c r="AH24" s="802"/>
      <c r="AI24" s="802"/>
      <c r="AJ24" s="803"/>
      <c r="AK24" s="761"/>
      <c r="AL24" s="762"/>
      <c r="AM24" s="762"/>
      <c r="AN24" s="763"/>
      <c r="AO24" s="801">
        <f t="shared" si="3"/>
      </c>
      <c r="AP24" s="802"/>
      <c r="AQ24" s="802"/>
      <c r="AR24" s="803"/>
      <c r="AS24" s="666"/>
      <c r="AT24" s="733"/>
      <c r="AU24" s="734"/>
      <c r="AV24" s="735"/>
      <c r="AW24" s="733"/>
      <c r="AX24" s="734"/>
      <c r="AY24" s="735"/>
      <c r="AZ24" s="734"/>
      <c r="BA24" s="734"/>
      <c r="BB24" s="735"/>
      <c r="BG24" s="121"/>
      <c r="BI24"/>
      <c r="BN24"/>
      <c r="BO24"/>
      <c r="BP24"/>
      <c r="BQ24"/>
      <c r="BR24"/>
      <c r="BS24"/>
      <c r="BT24"/>
      <c r="BU24"/>
      <c r="BV24"/>
      <c r="BW24"/>
      <c r="BX24"/>
      <c r="BY24"/>
      <c r="BZ24"/>
    </row>
    <row r="25" spans="1:77" ht="12.75" customHeight="1">
      <c r="A25" s="15"/>
      <c r="B25" s="556"/>
      <c r="C25" s="556"/>
      <c r="D25" s="556"/>
      <c r="E25" s="556"/>
      <c r="F25" s="556"/>
      <c r="G25" s="556"/>
      <c r="H25" s="556"/>
      <c r="I25" s="556"/>
      <c r="J25" s="556"/>
      <c r="K25" s="556"/>
      <c r="L25" s="556"/>
      <c r="M25" s="556"/>
      <c r="N25" s="556"/>
      <c r="O25" s="556"/>
      <c r="P25" s="556"/>
      <c r="Q25" s="556"/>
      <c r="R25" s="556"/>
      <c r="S25" s="556"/>
      <c r="T25" s="556"/>
      <c r="U25" s="556"/>
      <c r="V25" s="556"/>
      <c r="W25" s="556"/>
      <c r="X25" s="556"/>
      <c r="Y25" s="556"/>
      <c r="Z25" s="556"/>
      <c r="AA25" s="556"/>
      <c r="AB25" s="556"/>
      <c r="AC25" s="556"/>
      <c r="AD25" s="556"/>
      <c r="AE25" s="556"/>
      <c r="AF25" s="556"/>
      <c r="AG25" s="556"/>
      <c r="AH25" s="556"/>
      <c r="AI25" s="556"/>
      <c r="AJ25" s="556"/>
      <c r="AK25" s="556"/>
      <c r="AL25" s="556"/>
      <c r="AM25" s="556"/>
      <c r="AN25" s="556"/>
      <c r="AO25" s="556"/>
      <c r="AP25" s="556"/>
      <c r="AQ25" s="556"/>
      <c r="AR25" s="556"/>
      <c r="AS25" s="666"/>
      <c r="AT25" s="733"/>
      <c r="AU25" s="734"/>
      <c r="AV25" s="735"/>
      <c r="AW25" s="733"/>
      <c r="AX25" s="734"/>
      <c r="AY25" s="735"/>
      <c r="AZ25" s="733"/>
      <c r="BA25" s="734"/>
      <c r="BB25" s="735"/>
      <c r="BG25" s="121"/>
      <c r="BI25"/>
      <c r="BN25"/>
      <c r="BO25"/>
      <c r="BP25"/>
      <c r="BQ25"/>
      <c r="BR25"/>
      <c r="BS25"/>
      <c r="BT25"/>
      <c r="BU25"/>
      <c r="BV25"/>
      <c r="BW25"/>
      <c r="BX25"/>
      <c r="BY25"/>
    </row>
    <row r="26" spans="1:77" ht="18" customHeight="1">
      <c r="A26" s="15"/>
      <c r="B26" s="764" t="s">
        <v>182</v>
      </c>
      <c r="C26" s="765"/>
      <c r="D26" s="765"/>
      <c r="E26" s="765"/>
      <c r="F26" s="765"/>
      <c r="G26" s="765"/>
      <c r="H26" s="765"/>
      <c r="I26" s="765"/>
      <c r="J26" s="765"/>
      <c r="K26" s="765"/>
      <c r="L26" s="765"/>
      <c r="M26" s="766"/>
      <c r="N26" s="596"/>
      <c r="O26" s="764" t="s">
        <v>183</v>
      </c>
      <c r="P26" s="765"/>
      <c r="Q26" s="765"/>
      <c r="R26" s="765"/>
      <c r="S26" s="765"/>
      <c r="T26" s="765"/>
      <c r="U26" s="765"/>
      <c r="V26" s="765"/>
      <c r="W26" s="765"/>
      <c r="X26" s="765"/>
      <c r="Y26" s="765"/>
      <c r="Z26" s="765"/>
      <c r="AA26" s="765"/>
      <c r="AB26" s="765"/>
      <c r="AC26" s="765"/>
      <c r="AD26" s="765"/>
      <c r="AE26" s="765"/>
      <c r="AF26" s="765"/>
      <c r="AG26" s="765"/>
      <c r="AH26" s="765"/>
      <c r="AI26" s="765"/>
      <c r="AJ26" s="765"/>
      <c r="AK26" s="765"/>
      <c r="AL26" s="765"/>
      <c r="AM26" s="765"/>
      <c r="AN26" s="765"/>
      <c r="AO26" s="765"/>
      <c r="AP26" s="765"/>
      <c r="AQ26" s="765"/>
      <c r="AR26" s="766"/>
      <c r="AS26" s="666"/>
      <c r="AT26" s="733"/>
      <c r="AU26" s="734"/>
      <c r="AV26" s="735"/>
      <c r="AW26" s="733"/>
      <c r="AX26" s="734"/>
      <c r="AY26" s="735"/>
      <c r="AZ26" s="733"/>
      <c r="BA26" s="734"/>
      <c r="BB26" s="735"/>
      <c r="BG26" s="121"/>
      <c r="BI26"/>
      <c r="BN26"/>
      <c r="BO26"/>
      <c r="BP26"/>
      <c r="BQ26"/>
      <c r="BR26"/>
      <c r="BS26"/>
      <c r="BT26"/>
      <c r="BU26"/>
      <c r="BV26"/>
      <c r="BW26"/>
      <c r="BX26"/>
      <c r="BY26"/>
    </row>
    <row r="27" spans="1:77" ht="19.5" customHeight="1">
      <c r="A27" s="15"/>
      <c r="B27" s="819" t="s">
        <v>187</v>
      </c>
      <c r="C27" s="820"/>
      <c r="D27" s="820"/>
      <c r="E27" s="821"/>
      <c r="F27" s="764" t="s">
        <v>159</v>
      </c>
      <c r="G27" s="765"/>
      <c r="H27" s="765"/>
      <c r="I27" s="766"/>
      <c r="J27" s="764" t="s">
        <v>62</v>
      </c>
      <c r="K27" s="765"/>
      <c r="L27" s="765"/>
      <c r="M27" s="766"/>
      <c r="N27" s="596"/>
      <c r="O27" s="764" t="s">
        <v>184</v>
      </c>
      <c r="P27" s="765"/>
      <c r="Q27" s="765"/>
      <c r="R27" s="765"/>
      <c r="S27" s="765"/>
      <c r="T27" s="766"/>
      <c r="U27" s="776" t="s">
        <v>206</v>
      </c>
      <c r="V27" s="777"/>
      <c r="W27" s="777"/>
      <c r="X27" s="777"/>
      <c r="Y27" s="777"/>
      <c r="Z27" s="778"/>
      <c r="AA27" s="776" t="s">
        <v>207</v>
      </c>
      <c r="AB27" s="777"/>
      <c r="AC27" s="777"/>
      <c r="AD27" s="777"/>
      <c r="AE27" s="777"/>
      <c r="AF27" s="778"/>
      <c r="AG27" s="776" t="s">
        <v>208</v>
      </c>
      <c r="AH27" s="777"/>
      <c r="AI27" s="777"/>
      <c r="AJ27" s="777"/>
      <c r="AK27" s="777"/>
      <c r="AL27" s="778"/>
      <c r="AM27" s="819" t="s">
        <v>173</v>
      </c>
      <c r="AN27" s="820"/>
      <c r="AO27" s="820"/>
      <c r="AP27" s="820"/>
      <c r="AQ27" s="820"/>
      <c r="AR27" s="821"/>
      <c r="AS27" s="666"/>
      <c r="AT27" s="733"/>
      <c r="AU27" s="734"/>
      <c r="AV27" s="735"/>
      <c r="AW27" s="733"/>
      <c r="AX27" s="734"/>
      <c r="AY27" s="735"/>
      <c r="AZ27" s="734"/>
      <c r="BA27" s="734"/>
      <c r="BB27" s="735"/>
      <c r="BG27" s="121"/>
      <c r="BI27"/>
      <c r="BN27"/>
      <c r="BO27"/>
      <c r="BP27"/>
      <c r="BQ27"/>
      <c r="BR27"/>
      <c r="BS27"/>
      <c r="BT27"/>
      <c r="BU27"/>
      <c r="BV27"/>
      <c r="BW27"/>
      <c r="BX27"/>
      <c r="BY27"/>
    </row>
    <row r="28" spans="1:77" ht="19.5" customHeight="1">
      <c r="A28" s="15"/>
      <c r="B28" s="822"/>
      <c r="C28" s="823"/>
      <c r="D28" s="823"/>
      <c r="E28" s="824"/>
      <c r="F28" s="764" t="s">
        <v>209</v>
      </c>
      <c r="G28" s="766"/>
      <c r="H28" s="764" t="s">
        <v>173</v>
      </c>
      <c r="I28" s="766"/>
      <c r="J28" s="764" t="s">
        <v>209</v>
      </c>
      <c r="K28" s="766"/>
      <c r="L28" s="764" t="s">
        <v>173</v>
      </c>
      <c r="M28" s="766"/>
      <c r="N28" s="596"/>
      <c r="O28" s="835" t="s">
        <v>190</v>
      </c>
      <c r="P28" s="836"/>
      <c r="Q28" s="837"/>
      <c r="R28" s="836" t="s">
        <v>191</v>
      </c>
      <c r="S28" s="836"/>
      <c r="T28" s="837"/>
      <c r="U28" s="779"/>
      <c r="V28" s="780"/>
      <c r="W28" s="780"/>
      <c r="X28" s="780"/>
      <c r="Y28" s="780"/>
      <c r="Z28" s="781"/>
      <c r="AA28" s="779"/>
      <c r="AB28" s="780"/>
      <c r="AC28" s="780"/>
      <c r="AD28" s="780"/>
      <c r="AE28" s="780"/>
      <c r="AF28" s="781"/>
      <c r="AG28" s="779"/>
      <c r="AH28" s="780"/>
      <c r="AI28" s="780"/>
      <c r="AJ28" s="780"/>
      <c r="AK28" s="780"/>
      <c r="AL28" s="781"/>
      <c r="AM28" s="822"/>
      <c r="AN28" s="823"/>
      <c r="AO28" s="823"/>
      <c r="AP28" s="823"/>
      <c r="AQ28" s="823"/>
      <c r="AR28" s="824"/>
      <c r="AS28" s="666"/>
      <c r="AT28" s="764" t="s">
        <v>179</v>
      </c>
      <c r="AU28" s="765"/>
      <c r="AV28" s="765"/>
      <c r="AW28" s="765"/>
      <c r="AX28" s="765"/>
      <c r="AY28" s="765"/>
      <c r="AZ28" s="765"/>
      <c r="BA28" s="765"/>
      <c r="BB28" s="766"/>
      <c r="BG28" s="121"/>
      <c r="BH28" s="63"/>
      <c r="BI28"/>
      <c r="BN28"/>
      <c r="BO28"/>
      <c r="BP28"/>
      <c r="BQ28"/>
      <c r="BR28"/>
      <c r="BS28"/>
      <c r="BT28"/>
      <c r="BU28"/>
      <c r="BV28"/>
      <c r="BW28"/>
      <c r="BX28"/>
      <c r="BY28"/>
    </row>
    <row r="29" spans="1:77" ht="17.25" customHeight="1">
      <c r="A29" s="5"/>
      <c r="B29" s="376">
        <v>1</v>
      </c>
      <c r="C29" s="377"/>
      <c r="D29" s="377"/>
      <c r="E29" s="378"/>
      <c r="F29" s="774">
        <v>0.1</v>
      </c>
      <c r="G29" s="775"/>
      <c r="H29" s="782">
        <f>IF(F29="","",IF($BG$13=0,"等級を選択",0.1))</f>
        <v>0.1</v>
      </c>
      <c r="I29" s="783"/>
      <c r="J29" s="774">
        <v>0.01</v>
      </c>
      <c r="K29" s="775"/>
      <c r="L29" s="782">
        <f>IF(J29="","",IF($BG$13=0,"等級を選択",0.2))</f>
        <v>0.2</v>
      </c>
      <c r="M29" s="783"/>
      <c r="N29" s="596"/>
      <c r="O29" s="813"/>
      <c r="P29" s="814"/>
      <c r="Q29" s="815"/>
      <c r="R29" s="814"/>
      <c r="S29" s="814"/>
      <c r="T29" s="815"/>
      <c r="U29" s="829">
        <v>1</v>
      </c>
      <c r="V29" s="830"/>
      <c r="W29" s="828">
        <v>1</v>
      </c>
      <c r="X29" s="828"/>
      <c r="Y29" s="799">
        <v>1</v>
      </c>
      <c r="Z29" s="800"/>
      <c r="AA29" s="829">
        <v>1</v>
      </c>
      <c r="AB29" s="830"/>
      <c r="AC29" s="828">
        <v>0</v>
      </c>
      <c r="AD29" s="828"/>
      <c r="AE29" s="799">
        <v>1</v>
      </c>
      <c r="AF29" s="800"/>
      <c r="AG29" s="770">
        <f>IF(OR(U29="",AA29=""),"",ROUND(ABS(U29-AA29),3))</f>
        <v>0</v>
      </c>
      <c r="AH29" s="771"/>
      <c r="AI29" s="797">
        <f>IF(OR(W29="",AC29=""),"",ROUND(ABS(W29-AC29),3))</f>
        <v>1</v>
      </c>
      <c r="AJ29" s="797"/>
      <c r="AK29" s="772">
        <f>IF(OR(Y29="",AE29=""),"",ROUND(ABS(Y29-AE29),3))</f>
        <v>0</v>
      </c>
      <c r="AL29" s="773"/>
      <c r="AM29" s="770">
        <f>IF(AG29="","",IF($BG$13=0,"等級",0.02))</f>
        <v>0.02</v>
      </c>
      <c r="AN29" s="771"/>
      <c r="AO29" s="797">
        <f>IF(AI29="","",IF($BG$13=0,"を",0.02))</f>
        <v>0.02</v>
      </c>
      <c r="AP29" s="797"/>
      <c r="AQ29" s="772">
        <f>IF(AK29="","",IF($BG$13=0,"選択",0.03))</f>
        <v>0.03</v>
      </c>
      <c r="AR29" s="773"/>
      <c r="AS29" s="666"/>
      <c r="AT29" s="733"/>
      <c r="AU29" s="734"/>
      <c r="AV29" s="734"/>
      <c r="AW29" s="734"/>
      <c r="AX29" s="734"/>
      <c r="AY29" s="734"/>
      <c r="AZ29" s="734"/>
      <c r="BA29" s="734"/>
      <c r="BB29" s="735"/>
      <c r="BG29" s="121"/>
      <c r="BI29"/>
      <c r="BN29"/>
      <c r="BO29"/>
      <c r="BP29"/>
      <c r="BQ29"/>
      <c r="BR29"/>
      <c r="BS29"/>
      <c r="BT29"/>
      <c r="BU29"/>
      <c r="BV29"/>
      <c r="BW29"/>
      <c r="BX29"/>
      <c r="BY29"/>
    </row>
    <row r="30" spans="1:78" ht="17.25" customHeight="1">
      <c r="A30" s="5"/>
      <c r="B30" s="372">
        <v>2</v>
      </c>
      <c r="C30" s="373"/>
      <c r="D30" s="373"/>
      <c r="E30" s="349"/>
      <c r="F30" s="698">
        <v>0.2</v>
      </c>
      <c r="G30" s="699"/>
      <c r="H30" s="791">
        <f>IF(F30="","",IF($BG$13=0,"等級を選択",0.1))</f>
        <v>0.1</v>
      </c>
      <c r="I30" s="792"/>
      <c r="J30" s="698">
        <v>0.05</v>
      </c>
      <c r="K30" s="699"/>
      <c r="L30" s="791">
        <f>IF(J30="","",IF($BG$13=0,"等級を選択",0.2))</f>
        <v>0.2</v>
      </c>
      <c r="M30" s="792"/>
      <c r="N30" s="596"/>
      <c r="O30" s="748"/>
      <c r="P30" s="749"/>
      <c r="Q30" s="750"/>
      <c r="R30" s="748"/>
      <c r="S30" s="749"/>
      <c r="T30" s="750"/>
      <c r="U30" s="703">
        <v>2</v>
      </c>
      <c r="V30" s="704"/>
      <c r="W30" s="702">
        <v>2</v>
      </c>
      <c r="X30" s="702"/>
      <c r="Y30" s="691">
        <v>2</v>
      </c>
      <c r="Z30" s="692"/>
      <c r="AA30" s="703">
        <v>2</v>
      </c>
      <c r="AB30" s="704"/>
      <c r="AC30" s="702">
        <v>2</v>
      </c>
      <c r="AD30" s="702"/>
      <c r="AE30" s="691">
        <v>2</v>
      </c>
      <c r="AF30" s="692"/>
      <c r="AG30" s="793">
        <f>IF(OR(U30="",AA30=""),"",ROUND(ABS(U30-AA30),3))</f>
        <v>0</v>
      </c>
      <c r="AH30" s="794"/>
      <c r="AI30" s="798">
        <f>IF(OR(W30="",AC30=""),"",ROUND(ABS(W30-AC30),3))</f>
        <v>0</v>
      </c>
      <c r="AJ30" s="798"/>
      <c r="AK30" s="785">
        <f>IF(OR(Y30="",AE30=""),"",ROUND(ABS(Y30-AE30),3))</f>
        <v>0</v>
      </c>
      <c r="AL30" s="786"/>
      <c r="AM30" s="793">
        <f>IF(AG30="","",IF($BG$13=0,"等級",0.02))</f>
        <v>0.02</v>
      </c>
      <c r="AN30" s="794"/>
      <c r="AO30" s="798">
        <f>IF(AI30="","",IF($BG$13=0,"を",0.02))</f>
        <v>0.02</v>
      </c>
      <c r="AP30" s="798"/>
      <c r="AQ30" s="785">
        <f>IF(AK30="","",IF($BG$13=0,"選択",0.03))</f>
        <v>0.03</v>
      </c>
      <c r="AR30" s="786"/>
      <c r="AS30" s="666"/>
      <c r="AT30" s="733"/>
      <c r="AU30" s="734"/>
      <c r="AV30" s="734"/>
      <c r="AW30" s="734"/>
      <c r="AX30" s="734"/>
      <c r="AY30" s="734"/>
      <c r="AZ30" s="734"/>
      <c r="BA30" s="734"/>
      <c r="BB30" s="735"/>
      <c r="BG30" s="121"/>
      <c r="BI30"/>
      <c r="BN30"/>
      <c r="BO30"/>
      <c r="BP30"/>
      <c r="BQ30"/>
      <c r="BR30"/>
      <c r="BS30"/>
      <c r="BT30"/>
      <c r="BU30"/>
      <c r="BV30"/>
      <c r="BW30"/>
      <c r="BX30"/>
      <c r="BY30"/>
      <c r="BZ30"/>
    </row>
    <row r="31" spans="1:78" ht="17.25" customHeight="1">
      <c r="A31" s="5"/>
      <c r="B31" s="372">
        <v>3</v>
      </c>
      <c r="C31" s="373"/>
      <c r="D31" s="373"/>
      <c r="E31" s="349"/>
      <c r="F31" s="698">
        <v>0.3</v>
      </c>
      <c r="G31" s="699"/>
      <c r="H31" s="791">
        <f>IF(F31="","",IF($BG$13=0,"等級を選択",0.1))</f>
        <v>0.1</v>
      </c>
      <c r="I31" s="792"/>
      <c r="J31" s="698">
        <v>0.1</v>
      </c>
      <c r="K31" s="699"/>
      <c r="L31" s="791">
        <f>IF(J31="","",IF($BG$13=0,"等級を選択",0.2))</f>
        <v>0.2</v>
      </c>
      <c r="M31" s="792"/>
      <c r="N31" s="596"/>
      <c r="O31" s="748"/>
      <c r="P31" s="749"/>
      <c r="Q31" s="750"/>
      <c r="R31" s="748"/>
      <c r="S31" s="749"/>
      <c r="T31" s="750"/>
      <c r="U31" s="703">
        <v>23</v>
      </c>
      <c r="V31" s="704"/>
      <c r="W31" s="702">
        <v>3</v>
      </c>
      <c r="X31" s="702"/>
      <c r="Y31" s="691">
        <v>3</v>
      </c>
      <c r="Z31" s="692"/>
      <c r="AA31" s="703">
        <v>3</v>
      </c>
      <c r="AB31" s="704"/>
      <c r="AC31" s="702">
        <v>3</v>
      </c>
      <c r="AD31" s="702"/>
      <c r="AE31" s="691">
        <v>0</v>
      </c>
      <c r="AF31" s="692"/>
      <c r="AG31" s="793">
        <f>IF(OR(U31="",AA31=""),"",ROUND(ABS(U31-AA31),3))</f>
        <v>20</v>
      </c>
      <c r="AH31" s="794"/>
      <c r="AI31" s="798">
        <f>IF(OR(W31="",AC31=""),"",ROUND(ABS(W31-AC31),3))</f>
        <v>0</v>
      </c>
      <c r="AJ31" s="798"/>
      <c r="AK31" s="785">
        <f>IF(OR(Y31="",AE31=""),"",ROUND(ABS(Y31-AE31),3))</f>
        <v>3</v>
      </c>
      <c r="AL31" s="786"/>
      <c r="AM31" s="793">
        <f>IF(AG31="","",IF($BG$13=0,"等級",0.02))</f>
        <v>0.02</v>
      </c>
      <c r="AN31" s="794"/>
      <c r="AO31" s="798">
        <f>IF(AI31="","",IF($BG$13=0,"を",0.02))</f>
        <v>0.02</v>
      </c>
      <c r="AP31" s="798"/>
      <c r="AQ31" s="785">
        <f>IF(AK31="","",IF($BG$13=0,"選択",0.03))</f>
        <v>0.03</v>
      </c>
      <c r="AR31" s="786"/>
      <c r="AS31" s="666"/>
      <c r="AT31" s="733"/>
      <c r="AU31" s="734"/>
      <c r="AV31" s="734"/>
      <c r="AW31" s="734"/>
      <c r="AX31" s="734"/>
      <c r="AY31" s="734"/>
      <c r="AZ31" s="734"/>
      <c r="BA31" s="734"/>
      <c r="BB31" s="735"/>
      <c r="BG31" s="121"/>
      <c r="BI31"/>
      <c r="BN31"/>
      <c r="BO31"/>
      <c r="BP31"/>
      <c r="BQ31"/>
      <c r="BR31"/>
      <c r="BS31"/>
      <c r="BT31"/>
      <c r="BU31"/>
      <c r="BV31"/>
      <c r="BW31"/>
      <c r="BX31"/>
      <c r="BY31"/>
      <c r="BZ31"/>
    </row>
    <row r="32" spans="1:78" ht="17.25" customHeight="1">
      <c r="A32" s="5"/>
      <c r="B32" s="372">
        <v>4</v>
      </c>
      <c r="C32" s="373"/>
      <c r="D32" s="373"/>
      <c r="E32" s="349"/>
      <c r="F32" s="698">
        <v>0.4</v>
      </c>
      <c r="G32" s="699"/>
      <c r="H32" s="791">
        <f>IF(F32="","",IF($BG$13=0,"等級を選択",0.1))</f>
        <v>0.1</v>
      </c>
      <c r="I32" s="792"/>
      <c r="J32" s="698">
        <v>0.15</v>
      </c>
      <c r="K32" s="699"/>
      <c r="L32" s="791">
        <f>IF(J32="","",IF($BG$13=0,"等級を選択",0.2))</f>
        <v>0.2</v>
      </c>
      <c r="M32" s="792"/>
      <c r="N32" s="596"/>
      <c r="O32" s="748"/>
      <c r="P32" s="749"/>
      <c r="Q32" s="750"/>
      <c r="R32" s="748"/>
      <c r="S32" s="749"/>
      <c r="T32" s="750"/>
      <c r="U32" s="703">
        <v>4</v>
      </c>
      <c r="V32" s="704"/>
      <c r="W32" s="702">
        <v>4</v>
      </c>
      <c r="X32" s="702"/>
      <c r="Y32" s="691">
        <v>4</v>
      </c>
      <c r="Z32" s="692"/>
      <c r="AA32" s="703">
        <v>4</v>
      </c>
      <c r="AB32" s="704"/>
      <c r="AC32" s="702">
        <v>0</v>
      </c>
      <c r="AD32" s="702"/>
      <c r="AE32" s="691">
        <v>4</v>
      </c>
      <c r="AF32" s="692"/>
      <c r="AG32" s="793">
        <f>IF(OR(U32="",AA32=""),"",ROUND(ABS(U32-AA32),3))</f>
        <v>0</v>
      </c>
      <c r="AH32" s="794"/>
      <c r="AI32" s="798">
        <f>IF(OR(W32="",AC32=""),"",ROUND(ABS(W32-AC32),3))</f>
        <v>4</v>
      </c>
      <c r="AJ32" s="798"/>
      <c r="AK32" s="785">
        <f>IF(OR(Y32="",AE32=""),"",ROUND(ABS(Y32-AE32),3))</f>
        <v>0</v>
      </c>
      <c r="AL32" s="786"/>
      <c r="AM32" s="793">
        <f>IF(AG32="","",IF($BG$13=0,"等級",0.02))</f>
        <v>0.02</v>
      </c>
      <c r="AN32" s="794"/>
      <c r="AO32" s="798">
        <f>IF(AI32="","",IF($BG$13=0,"を",0.02))</f>
        <v>0.02</v>
      </c>
      <c r="AP32" s="798"/>
      <c r="AQ32" s="785">
        <f>IF(AK32="","",IF($BG$13=0,"選択",0.03))</f>
        <v>0.03</v>
      </c>
      <c r="AR32" s="786"/>
      <c r="AS32" s="666"/>
      <c r="AT32" s="733"/>
      <c r="AU32" s="734"/>
      <c r="AV32" s="734"/>
      <c r="AW32" s="734"/>
      <c r="AX32" s="734"/>
      <c r="AY32" s="734"/>
      <c r="AZ32" s="734"/>
      <c r="BA32" s="734"/>
      <c r="BB32" s="735"/>
      <c r="BG32" s="121"/>
      <c r="BI32"/>
      <c r="BN32"/>
      <c r="BO32"/>
      <c r="BP32"/>
      <c r="BQ32"/>
      <c r="BR32"/>
      <c r="BS32"/>
      <c r="BT32"/>
      <c r="BU32"/>
      <c r="BV32"/>
      <c r="BW32"/>
      <c r="BX32"/>
      <c r="BY32"/>
      <c r="BZ32"/>
    </row>
    <row r="33" spans="1:78" ht="17.25" customHeight="1">
      <c r="A33" s="5"/>
      <c r="B33" s="331">
        <v>5</v>
      </c>
      <c r="C33" s="328"/>
      <c r="D33" s="328"/>
      <c r="E33" s="329"/>
      <c r="F33" s="696">
        <v>0.5</v>
      </c>
      <c r="G33" s="697"/>
      <c r="H33" s="789">
        <f>IF(F33="","",IF($BG$13=0,"等級を選択",0.1))</f>
        <v>0.1</v>
      </c>
      <c r="I33" s="790"/>
      <c r="J33" s="696">
        <v>0.2</v>
      </c>
      <c r="K33" s="697"/>
      <c r="L33" s="789">
        <f>IF(J33="","",IF($BG$13=0,"等級を選択",0.2))</f>
        <v>0.2</v>
      </c>
      <c r="M33" s="790"/>
      <c r="N33" s="596"/>
      <c r="O33" s="713"/>
      <c r="P33" s="714"/>
      <c r="Q33" s="715"/>
      <c r="R33" s="713"/>
      <c r="S33" s="714"/>
      <c r="T33" s="715"/>
      <c r="U33" s="759">
        <v>5</v>
      </c>
      <c r="V33" s="760"/>
      <c r="W33" s="718">
        <v>5</v>
      </c>
      <c r="X33" s="718"/>
      <c r="Y33" s="719">
        <v>5</v>
      </c>
      <c r="Z33" s="720"/>
      <c r="AA33" s="759">
        <v>0</v>
      </c>
      <c r="AB33" s="760"/>
      <c r="AC33" s="718">
        <v>5</v>
      </c>
      <c r="AD33" s="718"/>
      <c r="AE33" s="719">
        <v>0</v>
      </c>
      <c r="AF33" s="720"/>
      <c r="AG33" s="795">
        <f>IF(OR(U33="",AA33=""),"",ROUND(ABS(U33-AA33),3))</f>
        <v>5</v>
      </c>
      <c r="AH33" s="796"/>
      <c r="AI33" s="784">
        <f>IF(OR(W33="",AC33=""),"",ROUND(ABS(W33-AC33),3))</f>
        <v>0</v>
      </c>
      <c r="AJ33" s="784"/>
      <c r="AK33" s="787">
        <f>IF(OR(Y33="",AE33=""),"",ROUND(ABS(Y33-AE33),3))</f>
        <v>5</v>
      </c>
      <c r="AL33" s="788"/>
      <c r="AM33" s="795">
        <f>IF(AG33="","",IF($BG$13=0,"等級",0.02))</f>
        <v>0.02</v>
      </c>
      <c r="AN33" s="796"/>
      <c r="AO33" s="784">
        <f>IF(AI33="","",IF($BG$13=0,"を",0.02))</f>
        <v>0.02</v>
      </c>
      <c r="AP33" s="784"/>
      <c r="AQ33" s="787">
        <f>IF(AK33="","",IF($BG$13=0,"選択",0.03))</f>
        <v>0.03</v>
      </c>
      <c r="AR33" s="788"/>
      <c r="AS33" s="666"/>
      <c r="AT33" s="746"/>
      <c r="AU33" s="599"/>
      <c r="AV33" s="599"/>
      <c r="AW33" s="599"/>
      <c r="AX33" s="599"/>
      <c r="AY33" s="599"/>
      <c r="AZ33" s="599"/>
      <c r="BA33" s="599"/>
      <c r="BB33" s="747"/>
      <c r="BG33" s="121"/>
      <c r="BI33"/>
      <c r="BN33"/>
      <c r="BO33"/>
      <c r="BP33"/>
      <c r="BQ33"/>
      <c r="BR33"/>
      <c r="BS33"/>
      <c r="BT33"/>
      <c r="BU33"/>
      <c r="BV33"/>
      <c r="BW33"/>
      <c r="BX33"/>
      <c r="BY33"/>
      <c r="BZ33"/>
    </row>
    <row r="34" spans="1:73" ht="15.7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G34" s="121"/>
      <c r="BI34"/>
      <c r="BN34"/>
      <c r="BO34"/>
      <c r="BP34"/>
      <c r="BQ34"/>
      <c r="BR34"/>
      <c r="BS34"/>
      <c r="BT34"/>
      <c r="BU34"/>
    </row>
    <row r="35" spans="1:75" ht="15.7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G35" s="121"/>
      <c r="BI35"/>
      <c r="BN35"/>
      <c r="BO35"/>
      <c r="BP35"/>
      <c r="BQ35"/>
      <c r="BR35"/>
      <c r="BS35"/>
      <c r="BT35"/>
      <c r="BU35"/>
      <c r="BV35"/>
      <c r="BW35"/>
    </row>
    <row r="36" spans="1:75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G36" s="121"/>
      <c r="BI36"/>
      <c r="BN36"/>
      <c r="BO36"/>
      <c r="BP36"/>
      <c r="BQ36"/>
      <c r="BR36"/>
      <c r="BS36"/>
      <c r="BT36"/>
      <c r="BU36"/>
      <c r="BV36"/>
      <c r="BW36"/>
    </row>
    <row r="37" spans="1:75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G37" s="121"/>
      <c r="BI37"/>
      <c r="BN37"/>
      <c r="BO37"/>
      <c r="BP37"/>
      <c r="BQ37"/>
      <c r="BR37"/>
      <c r="BS37"/>
      <c r="BT37"/>
      <c r="BU37"/>
      <c r="BV37"/>
      <c r="BW37"/>
    </row>
    <row r="38" spans="1:75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G38" s="121"/>
      <c r="BI38"/>
      <c r="BN38"/>
      <c r="BO38"/>
      <c r="BP38"/>
      <c r="BQ38"/>
      <c r="BR38"/>
      <c r="BS38"/>
      <c r="BT38"/>
      <c r="BU38"/>
      <c r="BV38"/>
      <c r="BW38"/>
    </row>
    <row r="39" spans="1:7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G39" s="121"/>
      <c r="BI39"/>
      <c r="BN39"/>
      <c r="BO39"/>
      <c r="BP39"/>
      <c r="BQ39"/>
      <c r="BR39"/>
      <c r="BS39"/>
      <c r="BT39"/>
      <c r="BU39"/>
      <c r="BV39"/>
      <c r="BW39"/>
    </row>
    <row r="40" spans="1:75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G40" s="121"/>
      <c r="BI40"/>
      <c r="BN40"/>
      <c r="BO40"/>
      <c r="BP40"/>
      <c r="BQ40"/>
      <c r="BR40"/>
      <c r="BS40"/>
      <c r="BT40"/>
      <c r="BU40"/>
      <c r="BV40"/>
      <c r="BW40"/>
    </row>
    <row r="41" spans="1:75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G41" s="121"/>
      <c r="BI41"/>
      <c r="BN41"/>
      <c r="BO41"/>
      <c r="BP41"/>
      <c r="BQ41"/>
      <c r="BR41"/>
      <c r="BS41"/>
      <c r="BT41"/>
      <c r="BU41"/>
      <c r="BV41"/>
      <c r="BW41"/>
    </row>
    <row r="42" spans="1:70" ht="12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G42" s="121"/>
      <c r="BI42"/>
      <c r="BN42"/>
      <c r="BO42"/>
      <c r="BP42"/>
      <c r="BQ42"/>
      <c r="BR42"/>
    </row>
    <row r="43" spans="1:70" ht="12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G43" s="121"/>
      <c r="BI43"/>
      <c r="BN43"/>
      <c r="BO43"/>
      <c r="BP43"/>
      <c r="BQ43"/>
      <c r="BR43"/>
    </row>
    <row r="44" spans="1:61" ht="12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G44" s="121"/>
      <c r="BI44"/>
    </row>
    <row r="45" spans="1:61" ht="12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G45" s="121"/>
      <c r="BI45"/>
    </row>
    <row r="46" spans="1:61" ht="12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G46" s="121"/>
      <c r="BI46"/>
    </row>
    <row r="47" spans="1:61" ht="12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G47" s="121"/>
      <c r="BI47"/>
    </row>
    <row r="48" spans="1:61" ht="12.75">
      <c r="A48"/>
      <c r="BG48" s="121"/>
      <c r="BI48"/>
    </row>
    <row r="49" spans="1:61" ht="12.75">
      <c r="A49"/>
      <c r="BG49" s="121"/>
      <c r="BI49"/>
    </row>
    <row r="50" spans="1:59" ht="12.75">
      <c r="A50"/>
      <c r="BG50" s="121"/>
    </row>
    <row r="51" ht="12.75">
      <c r="BG51" s="121"/>
    </row>
    <row r="52" ht="12.75">
      <c r="BG52" s="121"/>
    </row>
    <row r="53" ht="12.75">
      <c r="BG53" s="121"/>
    </row>
    <row r="54" ht="12.75">
      <c r="BG54" s="121"/>
    </row>
    <row r="55" ht="12.75">
      <c r="BG55" s="121"/>
    </row>
    <row r="56" ht="12.75">
      <c r="BG56" s="121"/>
    </row>
    <row r="57" ht="12.75">
      <c r="BG57" s="121"/>
    </row>
  </sheetData>
  <sheetProtection selectLockedCells="1"/>
  <mergeCells count="309">
    <mergeCell ref="AV10:BB10"/>
    <mergeCell ref="AV9:BA9"/>
    <mergeCell ref="AS9:AU9"/>
    <mergeCell ref="AS10:AU10"/>
    <mergeCell ref="AL9:AR9"/>
    <mergeCell ref="AA9:AG9"/>
    <mergeCell ref="AA10:AG10"/>
    <mergeCell ref="P9:W9"/>
    <mergeCell ref="P10:W10"/>
    <mergeCell ref="X9:Z9"/>
    <mergeCell ref="X10:Z10"/>
    <mergeCell ref="AL10:AQ10"/>
    <mergeCell ref="AH9:AK9"/>
    <mergeCell ref="AH10:AK10"/>
    <mergeCell ref="F20:I20"/>
    <mergeCell ref="F21:I21"/>
    <mergeCell ref="B1:BB1"/>
    <mergeCell ref="B2:BB2"/>
    <mergeCell ref="B3:BB3"/>
    <mergeCell ref="B4:BB4"/>
    <mergeCell ref="B6:BB6"/>
    <mergeCell ref="B11:BB11"/>
    <mergeCell ref="AS12:AS33"/>
    <mergeCell ref="N26:N33"/>
    <mergeCell ref="B9:D9"/>
    <mergeCell ref="B10:D10"/>
    <mergeCell ref="M9:O9"/>
    <mergeCell ref="M10:O10"/>
    <mergeCell ref="E9:L9"/>
    <mergeCell ref="E10:L10"/>
    <mergeCell ref="AU5:BB5"/>
    <mergeCell ref="J20:L20"/>
    <mergeCell ref="M22:P22"/>
    <mergeCell ref="Q22:T22"/>
    <mergeCell ref="Q18:T18"/>
    <mergeCell ref="M18:P18"/>
    <mergeCell ref="M19:P19"/>
    <mergeCell ref="M20:P20"/>
    <mergeCell ref="M14:P14"/>
    <mergeCell ref="M15:P15"/>
    <mergeCell ref="AC18:AF18"/>
    <mergeCell ref="M16:P16"/>
    <mergeCell ref="AC19:AF19"/>
    <mergeCell ref="U17:X17"/>
    <mergeCell ref="Q16:T16"/>
    <mergeCell ref="Q17:T17"/>
    <mergeCell ref="M17:P17"/>
    <mergeCell ref="U18:X18"/>
    <mergeCell ref="AG33:AH33"/>
    <mergeCell ref="U31:V31"/>
    <mergeCell ref="AG17:AJ17"/>
    <mergeCell ref="AO15:AR15"/>
    <mergeCell ref="AO16:AR16"/>
    <mergeCell ref="U19:X19"/>
    <mergeCell ref="Y17:AB17"/>
    <mergeCell ref="AC15:AF15"/>
    <mergeCell ref="AC16:AF16"/>
    <mergeCell ref="AC17:AF17"/>
    <mergeCell ref="O33:Q33"/>
    <mergeCell ref="R33:T33"/>
    <mergeCell ref="Y16:AB16"/>
    <mergeCell ref="R31:T31"/>
    <mergeCell ref="R32:T32"/>
    <mergeCell ref="U32:V32"/>
    <mergeCell ref="U16:X16"/>
    <mergeCell ref="U22:X22"/>
    <mergeCell ref="Y19:AB19"/>
    <mergeCell ref="Q24:T24"/>
    <mergeCell ref="U13:AB13"/>
    <mergeCell ref="M13:T13"/>
    <mergeCell ref="Y14:AB14"/>
    <mergeCell ref="Y15:AB15"/>
    <mergeCell ref="U15:X15"/>
    <mergeCell ref="Q14:T14"/>
    <mergeCell ref="Q15:T15"/>
    <mergeCell ref="U14:X14"/>
    <mergeCell ref="AG31:AH31"/>
    <mergeCell ref="AG32:AH32"/>
    <mergeCell ref="B32:E32"/>
    <mergeCell ref="F32:G32"/>
    <mergeCell ref="AE32:AF32"/>
    <mergeCell ref="AC31:AD31"/>
    <mergeCell ref="AC32:AD32"/>
    <mergeCell ref="AA31:AB31"/>
    <mergeCell ref="AA32:AB32"/>
    <mergeCell ref="L32:M32"/>
    <mergeCell ref="B33:E33"/>
    <mergeCell ref="W29:X29"/>
    <mergeCell ref="W30:X30"/>
    <mergeCell ref="W31:X31"/>
    <mergeCell ref="W32:X32"/>
    <mergeCell ref="W33:X33"/>
    <mergeCell ref="U29:V29"/>
    <mergeCell ref="U30:V30"/>
    <mergeCell ref="F33:G33"/>
    <mergeCell ref="F31:G31"/>
    <mergeCell ref="AI31:AJ31"/>
    <mergeCell ref="AI32:AJ32"/>
    <mergeCell ref="AI33:AJ33"/>
    <mergeCell ref="AK32:AL32"/>
    <mergeCell ref="Y30:Z30"/>
    <mergeCell ref="Y31:Z31"/>
    <mergeCell ref="Y32:Z32"/>
    <mergeCell ref="Y33:Z33"/>
    <mergeCell ref="AG23:AJ23"/>
    <mergeCell ref="O28:Q28"/>
    <mergeCell ref="R28:T28"/>
    <mergeCell ref="AC20:AF20"/>
    <mergeCell ref="U20:X20"/>
    <mergeCell ref="Y20:AB20"/>
    <mergeCell ref="Y21:AB21"/>
    <mergeCell ref="U21:X21"/>
    <mergeCell ref="Y22:AB22"/>
    <mergeCell ref="AC24:AF24"/>
    <mergeCell ref="AC23:AF23"/>
    <mergeCell ref="AG18:AJ18"/>
    <mergeCell ref="AT12:BB12"/>
    <mergeCell ref="AT13:BB13"/>
    <mergeCell ref="AT14:BB14"/>
    <mergeCell ref="AT15:BB15"/>
    <mergeCell ref="AK15:AN15"/>
    <mergeCell ref="AK13:AR13"/>
    <mergeCell ref="AK17:AN17"/>
    <mergeCell ref="AO17:AR17"/>
    <mergeCell ref="AO18:AR18"/>
    <mergeCell ref="AK21:AN21"/>
    <mergeCell ref="AO24:AR24"/>
    <mergeCell ref="AK24:AN24"/>
    <mergeCell ref="AK23:AN23"/>
    <mergeCell ref="B7:BB7"/>
    <mergeCell ref="B8:BB8"/>
    <mergeCell ref="AK18:AN18"/>
    <mergeCell ref="AG14:AJ14"/>
    <mergeCell ref="AC13:AJ13"/>
    <mergeCell ref="M12:AJ12"/>
    <mergeCell ref="AT17:BB17"/>
    <mergeCell ref="J16:L16"/>
    <mergeCell ref="F14:I14"/>
    <mergeCell ref="F15:I15"/>
    <mergeCell ref="AZ24:BB24"/>
    <mergeCell ref="F24:I24"/>
    <mergeCell ref="O27:T27"/>
    <mergeCell ref="AT27:AV27"/>
    <mergeCell ref="AW24:AY24"/>
    <mergeCell ref="AW27:AY27"/>
    <mergeCell ref="AZ27:BB27"/>
    <mergeCell ref="AW25:AY26"/>
    <mergeCell ref="AT25:AV26"/>
    <mergeCell ref="AT24:AV24"/>
    <mergeCell ref="AQ30:AR30"/>
    <mergeCell ref="AO31:AP31"/>
    <mergeCell ref="AO32:AP32"/>
    <mergeCell ref="AO19:AR19"/>
    <mergeCell ref="AO23:AR23"/>
    <mergeCell ref="AO20:AR20"/>
    <mergeCell ref="AO21:AR21"/>
    <mergeCell ref="AQ29:AR29"/>
    <mergeCell ref="AO29:AP29"/>
    <mergeCell ref="AT31:BB31"/>
    <mergeCell ref="AT32:BB32"/>
    <mergeCell ref="AT33:BB33"/>
    <mergeCell ref="AT28:BB28"/>
    <mergeCell ref="AT29:BB29"/>
    <mergeCell ref="AT30:BB30"/>
    <mergeCell ref="B20:E20"/>
    <mergeCell ref="M21:P21"/>
    <mergeCell ref="B16:E16"/>
    <mergeCell ref="B17:E17"/>
    <mergeCell ref="B18:E18"/>
    <mergeCell ref="B19:E19"/>
    <mergeCell ref="J17:L17"/>
    <mergeCell ref="J18:L18"/>
    <mergeCell ref="F17:I17"/>
    <mergeCell ref="F16:I16"/>
    <mergeCell ref="F27:I27"/>
    <mergeCell ref="AM27:AR28"/>
    <mergeCell ref="AG24:AJ24"/>
    <mergeCell ref="H28:I28"/>
    <mergeCell ref="B26:M26"/>
    <mergeCell ref="U24:X24"/>
    <mergeCell ref="B21:E21"/>
    <mergeCell ref="B22:E22"/>
    <mergeCell ref="J24:L24"/>
    <mergeCell ref="B23:E23"/>
    <mergeCell ref="F23:I23"/>
    <mergeCell ref="F22:I22"/>
    <mergeCell ref="J21:L21"/>
    <mergeCell ref="J22:L22"/>
    <mergeCell ref="B24:E24"/>
    <mergeCell ref="Q23:T23"/>
    <mergeCell ref="J23:L23"/>
    <mergeCell ref="AE30:AF30"/>
    <mergeCell ref="AC29:AD29"/>
    <mergeCell ref="AC30:AD30"/>
    <mergeCell ref="AA29:AB29"/>
    <mergeCell ref="AA30:AB30"/>
    <mergeCell ref="J27:M27"/>
    <mergeCell ref="M24:P24"/>
    <mergeCell ref="B25:AR25"/>
    <mergeCell ref="H29:I29"/>
    <mergeCell ref="H30:I30"/>
    <mergeCell ref="O29:Q29"/>
    <mergeCell ref="R29:T29"/>
    <mergeCell ref="J30:K30"/>
    <mergeCell ref="B29:E29"/>
    <mergeCell ref="B30:E30"/>
    <mergeCell ref="B31:E31"/>
    <mergeCell ref="F28:G28"/>
    <mergeCell ref="F29:G29"/>
    <mergeCell ref="F30:G30"/>
    <mergeCell ref="U5:AD5"/>
    <mergeCell ref="AC22:AF22"/>
    <mergeCell ref="L28:M28"/>
    <mergeCell ref="J28:K28"/>
    <mergeCell ref="B12:L12"/>
    <mergeCell ref="J13:L14"/>
    <mergeCell ref="J15:L15"/>
    <mergeCell ref="B27:E28"/>
    <mergeCell ref="U23:X23"/>
    <mergeCell ref="M23:P23"/>
    <mergeCell ref="AE5:AT5"/>
    <mergeCell ref="AT18:BB18"/>
    <mergeCell ref="B5:E5"/>
    <mergeCell ref="F5:T5"/>
    <mergeCell ref="B13:I13"/>
    <mergeCell ref="B14:E14"/>
    <mergeCell ref="B15:E15"/>
    <mergeCell ref="Y18:AB18"/>
    <mergeCell ref="AK12:AR12"/>
    <mergeCell ref="AT16:BB16"/>
    <mergeCell ref="AZ23:BB23"/>
    <mergeCell ref="AW23:AY23"/>
    <mergeCell ref="AT23:AV23"/>
    <mergeCell ref="AT21:AV21"/>
    <mergeCell ref="AW21:AY21"/>
    <mergeCell ref="AZ21:BB21"/>
    <mergeCell ref="AZ22:BB22"/>
    <mergeCell ref="AT22:AV22"/>
    <mergeCell ref="J19:L19"/>
    <mergeCell ref="AG22:AJ22"/>
    <mergeCell ref="AC21:AF21"/>
    <mergeCell ref="AW22:AY22"/>
    <mergeCell ref="AO22:AR22"/>
    <mergeCell ref="AK19:AN19"/>
    <mergeCell ref="AK20:AN20"/>
    <mergeCell ref="AT19:BB19"/>
    <mergeCell ref="AT20:BB20"/>
    <mergeCell ref="AK22:AN22"/>
    <mergeCell ref="AG20:AJ20"/>
    <mergeCell ref="AG21:AJ21"/>
    <mergeCell ref="L30:M30"/>
    <mergeCell ref="Y23:AB23"/>
    <mergeCell ref="Y24:AB24"/>
    <mergeCell ref="Q20:T20"/>
    <mergeCell ref="Q21:T21"/>
    <mergeCell ref="Y29:Z29"/>
    <mergeCell ref="R30:T30"/>
    <mergeCell ref="O30:Q30"/>
    <mergeCell ref="AZ25:BB26"/>
    <mergeCell ref="O26:AR26"/>
    <mergeCell ref="AK30:AL30"/>
    <mergeCell ref="AI29:AJ29"/>
    <mergeCell ref="AI30:AJ30"/>
    <mergeCell ref="AG29:AH29"/>
    <mergeCell ref="AG30:AH30"/>
    <mergeCell ref="AE29:AF29"/>
    <mergeCell ref="AM30:AN30"/>
    <mergeCell ref="AO30:AP30"/>
    <mergeCell ref="AM31:AN31"/>
    <mergeCell ref="AM32:AN32"/>
    <mergeCell ref="AM33:AN33"/>
    <mergeCell ref="L33:M33"/>
    <mergeCell ref="L31:M31"/>
    <mergeCell ref="AE33:AF33"/>
    <mergeCell ref="AC33:AD33"/>
    <mergeCell ref="AA33:AB33"/>
    <mergeCell ref="U33:V33"/>
    <mergeCell ref="AE31:AF31"/>
    <mergeCell ref="H33:I33"/>
    <mergeCell ref="AK31:AL31"/>
    <mergeCell ref="O31:Q31"/>
    <mergeCell ref="O32:Q32"/>
    <mergeCell ref="J31:K31"/>
    <mergeCell ref="J32:K32"/>
    <mergeCell ref="J33:K33"/>
    <mergeCell ref="H31:I31"/>
    <mergeCell ref="H32:I32"/>
    <mergeCell ref="AK33:AL33"/>
    <mergeCell ref="AO33:AP33"/>
    <mergeCell ref="AQ31:AR31"/>
    <mergeCell ref="AQ32:AR32"/>
    <mergeCell ref="AQ33:AR33"/>
    <mergeCell ref="AM29:AN29"/>
    <mergeCell ref="AK29:AL29"/>
    <mergeCell ref="J29:K29"/>
    <mergeCell ref="AG27:AL28"/>
    <mergeCell ref="AA27:AF28"/>
    <mergeCell ref="U27:Z28"/>
    <mergeCell ref="L29:M29"/>
    <mergeCell ref="F18:I18"/>
    <mergeCell ref="F19:I19"/>
    <mergeCell ref="AC14:AF14"/>
    <mergeCell ref="AO14:AR14"/>
    <mergeCell ref="AK14:AN14"/>
    <mergeCell ref="AK16:AN16"/>
    <mergeCell ref="AG15:AJ15"/>
    <mergeCell ref="AG16:AJ16"/>
    <mergeCell ref="AG19:AJ19"/>
    <mergeCell ref="Q19:T19"/>
  </mergeCells>
  <conditionalFormatting sqref="F5:T5">
    <cfRule type="cellIs" priority="1" dxfId="6" operator="equal" stopIfTrue="1">
      <formula>$BG$19</formula>
    </cfRule>
  </conditionalFormatting>
  <conditionalFormatting sqref="AE5:AT5">
    <cfRule type="cellIs" priority="2" dxfId="6" operator="equal" stopIfTrue="1">
      <formula>$BH$13</formula>
    </cfRule>
  </conditionalFormatting>
  <conditionalFormatting sqref="M15:P24 U15:X24 AC15:AF24">
    <cfRule type="expression" priority="3" dxfId="4" stopIfTrue="1">
      <formula>M15*1&gt;Q15*1</formula>
    </cfRule>
  </conditionalFormatting>
  <conditionalFormatting sqref="F29:G33 J29:K33">
    <cfRule type="expression" priority="4" dxfId="4" stopIfTrue="1">
      <formula>F29*1&gt;H29*1</formula>
    </cfRule>
  </conditionalFormatting>
  <conditionalFormatting sqref="AG29:AL33">
    <cfRule type="cellIs" priority="5" dxfId="4" operator="greaterThan" stopIfTrue="1">
      <formula>AM29</formula>
    </cfRule>
  </conditionalFormatting>
  <conditionalFormatting sqref="AK12:AR14">
    <cfRule type="expression" priority="6" dxfId="7" stopIfTrue="1">
      <formula>OR($BG$13=3,$BG$13=4)</formula>
    </cfRule>
  </conditionalFormatting>
  <conditionalFormatting sqref="AK15:AN24">
    <cfRule type="cellIs" priority="7" dxfId="4" operator="greaterThan" stopIfTrue="1">
      <formula>AO15*1</formula>
    </cfRule>
    <cfRule type="expression" priority="8" dxfId="8" stopIfTrue="1">
      <formula>OR($BG$13=3,$BG$13=4)</formula>
    </cfRule>
  </conditionalFormatting>
  <conditionalFormatting sqref="H29:I33 L29:M33">
    <cfRule type="cellIs" priority="9" dxfId="4" operator="equal" stopIfTrue="1">
      <formula>"等級を選択"</formula>
    </cfRule>
  </conditionalFormatting>
  <conditionalFormatting sqref="AM29:AR33">
    <cfRule type="expression" priority="10" dxfId="4" stopIfTrue="1">
      <formula>$BG$13=0</formula>
    </cfRule>
  </conditionalFormatting>
  <conditionalFormatting sqref="Y15:AB24 Q15:T24 AG15:AJ24">
    <cfRule type="cellIs" priority="11" dxfId="4" operator="equal" stopIfTrue="1">
      <formula>"値を選択"</formula>
    </cfRule>
    <cfRule type="cellIs" priority="12" dxfId="4" operator="equal" stopIfTrue="1">
      <formula>"等級を選択"</formula>
    </cfRule>
  </conditionalFormatting>
  <conditionalFormatting sqref="AO15:AR24">
    <cfRule type="expression" priority="13" dxfId="7" stopIfTrue="1">
      <formula>OR($BG$13=3,$BG$13=4)</formula>
    </cfRule>
    <cfRule type="cellIs" priority="14" dxfId="4" operator="equal" stopIfTrue="1">
      <formula>"等級を選択"</formula>
    </cfRule>
  </conditionalFormatting>
  <dataValidations count="2">
    <dataValidation type="list" allowBlank="1" showInputMessage="1" showErrorMessage="1" sqref="AE5:AT5">
      <formula1>$BH$13:$BH$15</formula1>
    </dataValidation>
    <dataValidation type="list" allowBlank="1" showInputMessage="1" showErrorMessage="1" sqref="F5">
      <formula1>$BG$19:$BG$23</formula1>
    </dataValidation>
  </dataValidations>
  <printOptions horizontalCentered="1"/>
  <pageMargins left="0.3937007874015748" right="0.3937007874015748" top="0.984251968503937" bottom="0.5905511811023623" header="0.5118110236220472" footer="0.5118110236220472"/>
  <pageSetup blackAndWhite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M40"/>
  <sheetViews>
    <sheetView zoomScale="85" zoomScaleNormal="85" workbookViewId="0" topLeftCell="A1">
      <selection activeCell="A14" sqref="A14"/>
    </sheetView>
  </sheetViews>
  <sheetFormatPr defaultColWidth="8.625" defaultRowHeight="13.5"/>
  <cols>
    <col min="1" max="1" width="5.00390625" style="20" customWidth="1"/>
    <col min="2" max="5" width="2.75390625" style="22" customWidth="1"/>
    <col min="6" max="32" width="2.75390625" style="20" customWidth="1"/>
    <col min="33" max="36" width="2.75390625" style="22" customWidth="1"/>
    <col min="37" max="38" width="1.25" style="22" customWidth="1"/>
    <col min="39" max="39" width="2.75390625" style="22" customWidth="1"/>
    <col min="40" max="40" width="2.75390625" style="20" customWidth="1"/>
    <col min="41" max="46" width="1.25" style="20" customWidth="1"/>
    <col min="47" max="50" width="2.75390625" style="20" customWidth="1"/>
    <col min="51" max="52" width="1.25" style="20" customWidth="1"/>
    <col min="53" max="54" width="2.75390625" style="20" customWidth="1"/>
    <col min="55" max="57" width="4.875" style="0" customWidth="1"/>
    <col min="58" max="58" width="19.50390625" style="67" customWidth="1"/>
    <col min="59" max="59" width="10.375" style="67" customWidth="1"/>
    <col min="60" max="60" width="9.875" style="67" customWidth="1"/>
    <col min="61" max="61" width="10.00390625" style="67" customWidth="1"/>
    <col min="62" max="62" width="9.625" style="67" customWidth="1"/>
    <col min="63" max="63" width="6.50390625" style="0" customWidth="1"/>
    <col min="66" max="16384" width="8.625" style="20" customWidth="1"/>
  </cols>
  <sheetData>
    <row r="1" spans="2:54" ht="21" customHeight="1"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AY1" s="471"/>
      <c r="AZ1" s="471"/>
      <c r="BA1" s="471"/>
      <c r="BB1" s="471"/>
    </row>
    <row r="2" spans="2:54" ht="24" customHeight="1">
      <c r="B2" s="608" t="s">
        <v>41</v>
      </c>
      <c r="C2" s="608"/>
      <c r="D2" s="608"/>
      <c r="E2" s="608"/>
      <c r="F2" s="608"/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608"/>
      <c r="AW2" s="608"/>
      <c r="AX2" s="608"/>
      <c r="AY2" s="608"/>
      <c r="AZ2" s="608"/>
      <c r="BA2" s="608"/>
      <c r="BB2" s="608"/>
    </row>
    <row r="3" spans="2:54" ht="21" customHeight="1">
      <c r="B3" s="605" t="s">
        <v>44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  <c r="BA3" s="605"/>
      <c r="BB3" s="605"/>
    </row>
    <row r="4" spans="2:54" ht="21" customHeight="1" thickBot="1"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  <c r="R4" s="471"/>
      <c r="S4" s="471"/>
      <c r="T4" s="471"/>
      <c r="U4" s="471"/>
      <c r="V4" s="471"/>
      <c r="W4" s="471"/>
      <c r="X4" s="471"/>
      <c r="Y4" s="471"/>
      <c r="Z4" s="471"/>
      <c r="AA4" s="471"/>
      <c r="AB4" s="471"/>
      <c r="AC4" s="471"/>
      <c r="AD4" s="471"/>
      <c r="AE4" s="471"/>
      <c r="AF4" s="471"/>
      <c r="AG4" s="471"/>
      <c r="AH4" s="471"/>
      <c r="AI4" s="471"/>
      <c r="AJ4" s="471"/>
      <c r="AK4" s="471"/>
      <c r="AL4" s="471"/>
      <c r="AM4" s="471"/>
      <c r="AN4" s="471"/>
      <c r="AO4" s="471"/>
      <c r="AP4" s="471"/>
      <c r="AQ4" s="471"/>
      <c r="AR4" s="471"/>
      <c r="AS4" s="471"/>
      <c r="AT4" s="471"/>
      <c r="AU4" s="471"/>
      <c r="AV4" s="471"/>
      <c r="AW4" s="471"/>
      <c r="AX4" s="471"/>
      <c r="AY4" s="471"/>
      <c r="AZ4" s="471"/>
      <c r="BA4" s="471"/>
      <c r="BB4" s="471"/>
    </row>
    <row r="5" spans="2:54" ht="24" customHeight="1" thickBot="1">
      <c r="B5" s="602" t="s">
        <v>84</v>
      </c>
      <c r="C5" s="603"/>
      <c r="D5" s="603"/>
      <c r="E5" s="604"/>
      <c r="F5" s="472" t="s">
        <v>36</v>
      </c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4"/>
      <c r="U5" s="606"/>
      <c r="V5" s="471"/>
      <c r="W5" s="471"/>
      <c r="X5" s="471"/>
      <c r="Y5" s="471"/>
      <c r="Z5" s="471"/>
      <c r="AA5" s="471"/>
      <c r="AB5" s="471"/>
      <c r="AC5" s="471"/>
      <c r="AD5" s="471"/>
      <c r="AE5" s="471"/>
      <c r="AF5" s="471"/>
      <c r="AG5" s="471"/>
      <c r="AH5" s="471"/>
      <c r="AI5" s="471"/>
      <c r="AJ5" s="471"/>
      <c r="AK5" s="471"/>
      <c r="AL5" s="471"/>
      <c r="AM5" s="471"/>
      <c r="AN5" s="471"/>
      <c r="AO5" s="471"/>
      <c r="AP5" s="471"/>
      <c r="AQ5" s="471"/>
      <c r="AR5" s="471"/>
      <c r="AS5" s="471"/>
      <c r="AT5" s="471"/>
      <c r="AU5" s="471"/>
      <c r="AV5" s="471"/>
      <c r="AW5" s="471"/>
      <c r="AX5" s="471"/>
      <c r="AY5" s="471"/>
      <c r="AZ5" s="471"/>
      <c r="BA5" s="471"/>
      <c r="BB5" s="471"/>
    </row>
    <row r="6" spans="2:65" s="19" customFormat="1" ht="21" customHeight="1">
      <c r="B6" s="471"/>
      <c r="C6" s="471"/>
      <c r="D6" s="471"/>
      <c r="E6" s="471"/>
      <c r="F6" s="471"/>
      <c r="G6" s="471"/>
      <c r="H6" s="471"/>
      <c r="I6" s="471"/>
      <c r="J6" s="471"/>
      <c r="K6" s="471"/>
      <c r="L6" s="471"/>
      <c r="M6" s="471"/>
      <c r="N6" s="471"/>
      <c r="O6" s="471"/>
      <c r="P6" s="471"/>
      <c r="Q6" s="471"/>
      <c r="R6" s="471"/>
      <c r="S6" s="471"/>
      <c r="T6" s="471"/>
      <c r="U6" s="471"/>
      <c r="V6" s="471"/>
      <c r="W6" s="471"/>
      <c r="X6" s="471"/>
      <c r="Y6" s="471"/>
      <c r="Z6" s="471"/>
      <c r="AA6" s="471"/>
      <c r="AB6" s="471"/>
      <c r="AC6" s="471"/>
      <c r="AD6" s="471"/>
      <c r="AE6" s="471"/>
      <c r="AF6" s="471"/>
      <c r="AG6" s="471"/>
      <c r="AH6" s="471"/>
      <c r="AI6" s="471"/>
      <c r="AJ6" s="471"/>
      <c r="AK6" s="471"/>
      <c r="AL6" s="471"/>
      <c r="AM6" s="471"/>
      <c r="AN6" s="471"/>
      <c r="AO6" s="471"/>
      <c r="AP6" s="471"/>
      <c r="AQ6" s="471"/>
      <c r="AR6" s="471"/>
      <c r="AS6" s="471"/>
      <c r="AT6" s="471"/>
      <c r="AU6" s="471"/>
      <c r="AV6" s="471"/>
      <c r="AW6" s="471"/>
      <c r="AX6" s="471"/>
      <c r="AY6" s="471"/>
      <c r="AZ6" s="471"/>
      <c r="BA6" s="471"/>
      <c r="BB6" s="471"/>
      <c r="BC6"/>
      <c r="BD6"/>
      <c r="BE6"/>
      <c r="BF6"/>
      <c r="BG6"/>
      <c r="BH6"/>
      <c r="BI6"/>
      <c r="BJ6"/>
      <c r="BK6"/>
      <c r="BL6"/>
      <c r="BM6"/>
    </row>
    <row r="7" spans="1:62" ht="30" customHeight="1">
      <c r="A7" s="19"/>
      <c r="B7" s="852" t="str">
        <f>IF(BH27=0,BF21,F5&amp;" 精 度 管 理 表")</f>
        <v>1 級 水 準 測 量 精 度 管 理 表</v>
      </c>
      <c r="C7" s="852"/>
      <c r="D7" s="852"/>
      <c r="E7" s="852"/>
      <c r="F7" s="852"/>
      <c r="G7" s="852"/>
      <c r="H7" s="852"/>
      <c r="I7" s="852"/>
      <c r="J7" s="852"/>
      <c r="K7" s="852"/>
      <c r="L7" s="852"/>
      <c r="M7" s="852"/>
      <c r="N7" s="852"/>
      <c r="O7" s="852"/>
      <c r="P7" s="852"/>
      <c r="Q7" s="852"/>
      <c r="R7" s="852"/>
      <c r="S7" s="852"/>
      <c r="T7" s="852"/>
      <c r="U7" s="852"/>
      <c r="V7" s="852"/>
      <c r="W7" s="852"/>
      <c r="X7" s="852"/>
      <c r="Y7" s="852"/>
      <c r="Z7" s="852"/>
      <c r="AA7" s="852"/>
      <c r="AB7" s="852"/>
      <c r="AC7" s="852"/>
      <c r="AD7" s="852"/>
      <c r="AE7" s="852"/>
      <c r="AF7" s="852"/>
      <c r="AG7" s="852"/>
      <c r="AH7" s="852"/>
      <c r="AI7" s="852"/>
      <c r="AJ7" s="852"/>
      <c r="AK7" s="852"/>
      <c r="AL7" s="852"/>
      <c r="AM7" s="852"/>
      <c r="AN7" s="852"/>
      <c r="AO7" s="852"/>
      <c r="AP7" s="852"/>
      <c r="AQ7" s="852"/>
      <c r="AR7" s="852"/>
      <c r="AS7" s="852"/>
      <c r="AT7" s="852"/>
      <c r="AU7" s="852"/>
      <c r="AV7" s="852"/>
      <c r="AW7" s="852"/>
      <c r="AX7" s="852"/>
      <c r="AY7" s="852"/>
      <c r="AZ7" s="852"/>
      <c r="BA7" s="852"/>
      <c r="BB7" s="852"/>
      <c r="BF7"/>
      <c r="BG7"/>
      <c r="BH7" s="1"/>
      <c r="BI7"/>
      <c r="BJ7"/>
    </row>
    <row r="8" spans="1:65" s="22" customFormat="1" ht="30" customHeight="1">
      <c r="A8" s="21"/>
      <c r="B8" s="874" t="s">
        <v>45</v>
      </c>
      <c r="C8" s="873"/>
      <c r="D8" s="873"/>
      <c r="E8" s="478" t="str">
        <f>'業務情報'!C3</f>
        <v>平成２６年度
○○測量業務</v>
      </c>
      <c r="F8" s="479"/>
      <c r="G8" s="479"/>
      <c r="H8" s="479"/>
      <c r="I8" s="479"/>
      <c r="J8" s="479"/>
      <c r="K8" s="479"/>
      <c r="L8" s="875"/>
      <c r="M8" s="873" t="s">
        <v>46</v>
      </c>
      <c r="N8" s="873"/>
      <c r="O8" s="873"/>
      <c r="P8" s="478" t="str">
        <f>'業務情報'!C6</f>
        <v>○○市　○○地区</v>
      </c>
      <c r="Q8" s="479"/>
      <c r="R8" s="479"/>
      <c r="S8" s="479"/>
      <c r="T8" s="479"/>
      <c r="U8" s="479"/>
      <c r="V8" s="875"/>
      <c r="W8" s="873" t="s">
        <v>126</v>
      </c>
      <c r="X8" s="873"/>
      <c r="Y8" s="873"/>
      <c r="Z8" s="478" t="str">
        <f>'業務情報'!E3</f>
        <v>○○地方整備局
○○事務所</v>
      </c>
      <c r="AA8" s="479"/>
      <c r="AB8" s="479"/>
      <c r="AC8" s="479"/>
      <c r="AD8" s="479"/>
      <c r="AE8" s="875"/>
      <c r="AF8" s="874" t="s">
        <v>47</v>
      </c>
      <c r="AG8" s="873"/>
      <c r="AH8" s="913"/>
      <c r="AI8" s="479" t="str">
        <f>'業務情報'!E4</f>
        <v>（有）サーベイテック</v>
      </c>
      <c r="AJ8" s="479"/>
      <c r="AK8" s="479"/>
      <c r="AL8" s="479"/>
      <c r="AM8" s="479"/>
      <c r="AN8" s="479"/>
      <c r="AO8" s="479"/>
      <c r="AP8" s="479"/>
      <c r="AQ8" s="874" t="s">
        <v>48</v>
      </c>
      <c r="AR8" s="873"/>
      <c r="AS8" s="873"/>
      <c r="AT8" s="873"/>
      <c r="AU8" s="913"/>
      <c r="AV8" s="478" t="e">
        <f>業務情報!#REF!</f>
        <v>#REF!</v>
      </c>
      <c r="AW8" s="479"/>
      <c r="AX8" s="479"/>
      <c r="AY8" s="479"/>
      <c r="AZ8" s="479"/>
      <c r="BA8" s="479"/>
      <c r="BB8" s="39" t="s">
        <v>125</v>
      </c>
      <c r="BC8"/>
      <c r="BD8"/>
      <c r="BE8"/>
      <c r="BF8"/>
      <c r="BG8" s="1"/>
      <c r="BH8" s="1"/>
      <c r="BI8"/>
      <c r="BJ8"/>
      <c r="BK8"/>
      <c r="BL8"/>
      <c r="BM8"/>
    </row>
    <row r="9" spans="1:65" s="22" customFormat="1" ht="30" customHeight="1">
      <c r="A9" s="24"/>
      <c r="B9" s="874" t="s">
        <v>88</v>
      </c>
      <c r="C9" s="873"/>
      <c r="D9" s="873"/>
      <c r="E9" s="478" t="str">
        <f>'業務情報'!C4</f>
        <v>道路整備計画</v>
      </c>
      <c r="F9" s="479"/>
      <c r="G9" s="479"/>
      <c r="H9" s="479"/>
      <c r="I9" s="479"/>
      <c r="J9" s="479"/>
      <c r="K9" s="479"/>
      <c r="L9" s="875"/>
      <c r="M9" s="873" t="s">
        <v>50</v>
      </c>
      <c r="N9" s="873"/>
      <c r="O9" s="873"/>
      <c r="P9" s="478" t="str">
        <f>'業務情報'!E5</f>
        <v>自 平成26年10月10日
至 平成27年3月15日</v>
      </c>
      <c r="Q9" s="479"/>
      <c r="R9" s="479"/>
      <c r="S9" s="479"/>
      <c r="T9" s="479"/>
      <c r="U9" s="479"/>
      <c r="V9" s="875"/>
      <c r="W9" s="873" t="s">
        <v>104</v>
      </c>
      <c r="X9" s="873"/>
      <c r="Y9" s="873"/>
      <c r="Z9" s="892"/>
      <c r="AA9" s="893"/>
      <c r="AB9" s="893"/>
      <c r="AC9" s="893"/>
      <c r="AD9" s="893"/>
      <c r="AE9" s="894"/>
      <c r="AF9" s="874" t="s">
        <v>51</v>
      </c>
      <c r="AG9" s="873"/>
      <c r="AH9" s="913"/>
      <c r="AI9" s="479" t="e">
        <f>業務情報!#REF!</f>
        <v>#REF!</v>
      </c>
      <c r="AJ9" s="479"/>
      <c r="AK9" s="479"/>
      <c r="AL9" s="479"/>
      <c r="AM9" s="479"/>
      <c r="AN9" s="479"/>
      <c r="AO9" s="914" t="s">
        <v>125</v>
      </c>
      <c r="AP9" s="915"/>
      <c r="AQ9" s="874" t="s">
        <v>52</v>
      </c>
      <c r="AR9" s="873"/>
      <c r="AS9" s="873"/>
      <c r="AT9" s="873"/>
      <c r="AU9" s="913"/>
      <c r="AV9" s="663"/>
      <c r="AW9" s="663"/>
      <c r="AX9" s="663"/>
      <c r="AY9" s="663"/>
      <c r="AZ9" s="663"/>
      <c r="BA9" s="663"/>
      <c r="BB9" s="664"/>
      <c r="BC9"/>
      <c r="BD9"/>
      <c r="BE9"/>
      <c r="BF9"/>
      <c r="BG9" s="1"/>
      <c r="BH9" s="1"/>
      <c r="BI9"/>
      <c r="BJ9"/>
      <c r="BK9"/>
      <c r="BL9"/>
      <c r="BM9"/>
    </row>
    <row r="10" spans="1:62" ht="12" customHeight="1">
      <c r="A10" s="25"/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5"/>
      <c r="AR10" s="455"/>
      <c r="AS10" s="457"/>
      <c r="AT10" s="457"/>
      <c r="AU10" s="457"/>
      <c r="AV10" s="457"/>
      <c r="AW10" s="457"/>
      <c r="AX10" s="457"/>
      <c r="AY10" s="457"/>
      <c r="AZ10" s="457"/>
      <c r="BA10" s="457"/>
      <c r="BB10" s="457"/>
      <c r="BF10"/>
      <c r="BG10" s="1"/>
      <c r="BH10" s="1"/>
      <c r="BI10"/>
      <c r="BJ10"/>
    </row>
    <row r="11" spans="1:65" s="23" customFormat="1" ht="18" customHeight="1">
      <c r="A11" s="25"/>
      <c r="B11" s="895" t="s">
        <v>134</v>
      </c>
      <c r="C11" s="896"/>
      <c r="D11" s="896"/>
      <c r="E11" s="897"/>
      <c r="F11" s="901" t="s">
        <v>140</v>
      </c>
      <c r="G11" s="902"/>
      <c r="H11" s="903"/>
      <c r="I11" s="323" t="s">
        <v>105</v>
      </c>
      <c r="J11" s="317"/>
      <c r="K11" s="324"/>
      <c r="L11" s="323" t="s">
        <v>135</v>
      </c>
      <c r="M11" s="317"/>
      <c r="N11" s="324"/>
      <c r="O11" s="323" t="s">
        <v>89</v>
      </c>
      <c r="P11" s="317"/>
      <c r="Q11" s="324"/>
      <c r="R11" s="901" t="s">
        <v>140</v>
      </c>
      <c r="S11" s="902"/>
      <c r="T11" s="903"/>
      <c r="U11" s="323" t="s">
        <v>136</v>
      </c>
      <c r="V11" s="317"/>
      <c r="W11" s="324"/>
      <c r="X11" s="907" t="s">
        <v>90</v>
      </c>
      <c r="Y11" s="908"/>
      <c r="Z11" s="909"/>
      <c r="AA11" s="323" t="s">
        <v>91</v>
      </c>
      <c r="AB11" s="317"/>
      <c r="AC11" s="324"/>
      <c r="AD11" s="323" t="s">
        <v>92</v>
      </c>
      <c r="AE11" s="317"/>
      <c r="AF11" s="324"/>
      <c r="AG11" s="323" t="s">
        <v>93</v>
      </c>
      <c r="AH11" s="317"/>
      <c r="AI11" s="324"/>
      <c r="AJ11" s="323" t="s">
        <v>94</v>
      </c>
      <c r="AK11" s="317"/>
      <c r="AL11" s="317"/>
      <c r="AM11" s="324"/>
      <c r="AN11" s="323" t="s">
        <v>95</v>
      </c>
      <c r="AO11" s="317"/>
      <c r="AP11" s="317"/>
      <c r="AQ11" s="317"/>
      <c r="AR11" s="324"/>
      <c r="AS11" s="386" t="s">
        <v>43</v>
      </c>
      <c r="AT11" s="387"/>
      <c r="AU11" s="387"/>
      <c r="AV11" s="387"/>
      <c r="AW11" s="388"/>
      <c r="AX11" s="323" t="s">
        <v>133</v>
      </c>
      <c r="AY11" s="317"/>
      <c r="AZ11" s="317"/>
      <c r="BA11" s="317"/>
      <c r="BB11" s="324"/>
      <c r="BC11"/>
      <c r="BD11"/>
      <c r="BE11"/>
      <c r="BI11"/>
      <c r="BJ11"/>
      <c r="BK11"/>
      <c r="BL11"/>
      <c r="BM11"/>
    </row>
    <row r="12" spans="1:65" s="23" customFormat="1" ht="18" customHeight="1">
      <c r="A12" s="25"/>
      <c r="B12" s="898"/>
      <c r="C12" s="899"/>
      <c r="D12" s="899"/>
      <c r="E12" s="900"/>
      <c r="F12" s="904"/>
      <c r="G12" s="905"/>
      <c r="H12" s="906"/>
      <c r="I12" s="321"/>
      <c r="J12" s="314"/>
      <c r="K12" s="319"/>
      <c r="L12" s="321"/>
      <c r="M12" s="314"/>
      <c r="N12" s="319"/>
      <c r="O12" s="321"/>
      <c r="P12" s="314"/>
      <c r="Q12" s="319"/>
      <c r="R12" s="904"/>
      <c r="S12" s="905"/>
      <c r="T12" s="906"/>
      <c r="U12" s="321"/>
      <c r="V12" s="314"/>
      <c r="W12" s="319"/>
      <c r="X12" s="910"/>
      <c r="Y12" s="911"/>
      <c r="Z12" s="912"/>
      <c r="AA12" s="321"/>
      <c r="AB12" s="314"/>
      <c r="AC12" s="319"/>
      <c r="AD12" s="321"/>
      <c r="AE12" s="314"/>
      <c r="AF12" s="319"/>
      <c r="AG12" s="321"/>
      <c r="AH12" s="314"/>
      <c r="AI12" s="319"/>
      <c r="AJ12" s="321"/>
      <c r="AK12" s="314"/>
      <c r="AL12" s="314"/>
      <c r="AM12" s="319"/>
      <c r="AN12" s="321"/>
      <c r="AO12" s="314"/>
      <c r="AP12" s="314"/>
      <c r="AQ12" s="314"/>
      <c r="AR12" s="319"/>
      <c r="AS12" s="392"/>
      <c r="AT12" s="393"/>
      <c r="AU12" s="393"/>
      <c r="AV12" s="393"/>
      <c r="AW12" s="394"/>
      <c r="AX12" s="321"/>
      <c r="AY12" s="314"/>
      <c r="AZ12" s="314"/>
      <c r="BA12" s="314"/>
      <c r="BB12" s="319"/>
      <c r="BC12"/>
      <c r="BD12"/>
      <c r="BE12"/>
      <c r="BI12"/>
      <c r="BJ12"/>
      <c r="BK12"/>
      <c r="BL12"/>
      <c r="BM12"/>
    </row>
    <row r="13" spans="1:62" ht="24" customHeight="1">
      <c r="A13" s="25"/>
      <c r="B13" s="870">
        <v>1</v>
      </c>
      <c r="C13" s="378"/>
      <c r="D13" s="378"/>
      <c r="E13" s="870"/>
      <c r="F13" s="383">
        <v>1</v>
      </c>
      <c r="G13" s="384"/>
      <c r="H13" s="385"/>
      <c r="I13" s="871">
        <v>0.02</v>
      </c>
      <c r="J13" s="871"/>
      <c r="K13" s="871"/>
      <c r="L13" s="872" t="str">
        <f aca="true" t="shared" si="0" ref="L13:L18">IF(BG13&lt;&gt;0,INDEX($BF$13:$BF$16,BG13,1),FIXED(IF(LEN(AS13)&gt;30,INDEX($BG$22:$BG$26,$BH$27,1),INDEX($BH$22:$BH$26,$BH$27,1))*F13^0.5,IF($BH$27=1,3,IF(OR($BH$27=2,$BH$27=5),2,1))))</f>
        <v>15.000</v>
      </c>
      <c r="M13" s="872"/>
      <c r="N13" s="872"/>
      <c r="O13" s="376"/>
      <c r="P13" s="377"/>
      <c r="Q13" s="378"/>
      <c r="R13" s="383">
        <v>1</v>
      </c>
      <c r="S13" s="384"/>
      <c r="T13" s="385"/>
      <c r="U13" s="376">
        <v>1</v>
      </c>
      <c r="V13" s="377"/>
      <c r="W13" s="378"/>
      <c r="X13" s="383">
        <v>0.001</v>
      </c>
      <c r="Y13" s="384"/>
      <c r="Z13" s="385"/>
      <c r="AA13" s="376">
        <v>1</v>
      </c>
      <c r="AB13" s="377"/>
      <c r="AC13" s="378"/>
      <c r="AD13" s="376">
        <v>1</v>
      </c>
      <c r="AE13" s="377"/>
      <c r="AF13" s="378"/>
      <c r="AG13" s="376">
        <v>1</v>
      </c>
      <c r="AH13" s="377"/>
      <c r="AI13" s="378"/>
      <c r="AJ13" s="376">
        <v>1</v>
      </c>
      <c r="AK13" s="377"/>
      <c r="AL13" s="377"/>
      <c r="AM13" s="378"/>
      <c r="AN13" s="376">
        <v>1</v>
      </c>
      <c r="AO13" s="377"/>
      <c r="AP13" s="377"/>
      <c r="AQ13" s="377"/>
      <c r="AR13" s="378"/>
      <c r="AS13" s="853" t="s">
        <v>143</v>
      </c>
      <c r="AT13" s="853"/>
      <c r="AU13" s="853"/>
      <c r="AV13" s="853"/>
      <c r="AW13" s="854"/>
      <c r="AX13" s="886"/>
      <c r="AY13" s="886"/>
      <c r="AZ13" s="886"/>
      <c r="BA13" s="886"/>
      <c r="BB13" s="887"/>
      <c r="BF13" s="70" t="s">
        <v>149</v>
      </c>
      <c r="BG13" s="67">
        <f aca="true" t="shared" si="1" ref="BG13:BG18">IF(AND(F13&lt;&gt;"",B13=""),1,IF($BH$27=0,2,IF(AND(B13&lt;&gt;"",F13=""),3,IF(IF(LEN(AS13)&lt;30,AS13&lt;&gt;$BF$29,IF(LEN(AS13)&gt;30,AS13&lt;&gt;$BF$28,AS13&lt;&gt;$BF$30)),4,0))))</f>
        <v>0</v>
      </c>
      <c r="BI13"/>
      <c r="BJ13"/>
    </row>
    <row r="14" spans="1:65" ht="24" customHeight="1">
      <c r="A14" s="25"/>
      <c r="B14" s="372">
        <v>2</v>
      </c>
      <c r="C14" s="373"/>
      <c r="D14" s="373"/>
      <c r="E14" s="349"/>
      <c r="F14" s="379">
        <v>2</v>
      </c>
      <c r="G14" s="332"/>
      <c r="H14" s="330"/>
      <c r="I14" s="379">
        <v>-0.014</v>
      </c>
      <c r="J14" s="332"/>
      <c r="K14" s="330"/>
      <c r="L14" s="849" t="str">
        <f t="shared" si="0"/>
        <v>摘要の選択</v>
      </c>
      <c r="M14" s="850"/>
      <c r="N14" s="851"/>
      <c r="O14" s="372"/>
      <c r="P14" s="373"/>
      <c r="Q14" s="349"/>
      <c r="R14" s="379">
        <v>2</v>
      </c>
      <c r="S14" s="332"/>
      <c r="T14" s="330"/>
      <c r="U14" s="372">
        <v>2</v>
      </c>
      <c r="V14" s="373"/>
      <c r="W14" s="349"/>
      <c r="X14" s="379">
        <v>0.002</v>
      </c>
      <c r="Y14" s="332"/>
      <c r="Z14" s="330"/>
      <c r="AA14" s="372">
        <v>2</v>
      </c>
      <c r="AB14" s="373"/>
      <c r="AC14" s="349"/>
      <c r="AD14" s="372">
        <v>2</v>
      </c>
      <c r="AE14" s="373"/>
      <c r="AF14" s="349"/>
      <c r="AG14" s="372">
        <v>2</v>
      </c>
      <c r="AH14" s="373"/>
      <c r="AI14" s="349"/>
      <c r="AJ14" s="372">
        <v>2</v>
      </c>
      <c r="AK14" s="373"/>
      <c r="AL14" s="373"/>
      <c r="AM14" s="349"/>
      <c r="AN14" s="372">
        <v>2</v>
      </c>
      <c r="AO14" s="373"/>
      <c r="AP14" s="373"/>
      <c r="AQ14" s="373"/>
      <c r="AR14" s="349"/>
      <c r="AS14" s="853" t="s">
        <v>144</v>
      </c>
      <c r="AT14" s="853"/>
      <c r="AU14" s="853"/>
      <c r="AV14" s="853"/>
      <c r="AW14" s="854"/>
      <c r="AX14" s="886"/>
      <c r="AY14" s="886"/>
      <c r="AZ14" s="886"/>
      <c r="BA14" s="886"/>
      <c r="BB14" s="887"/>
      <c r="BF14" s="71" t="s">
        <v>280</v>
      </c>
      <c r="BG14" s="67">
        <f t="shared" si="1"/>
        <v>4</v>
      </c>
      <c r="BI14"/>
      <c r="BJ14"/>
      <c r="BM14" s="20"/>
    </row>
    <row r="15" spans="1:65" ht="24" customHeight="1">
      <c r="A15" s="25"/>
      <c r="B15" s="372">
        <v>3</v>
      </c>
      <c r="C15" s="373"/>
      <c r="D15" s="373"/>
      <c r="E15" s="349"/>
      <c r="F15" s="379">
        <v>3</v>
      </c>
      <c r="G15" s="332"/>
      <c r="H15" s="330"/>
      <c r="I15" s="379">
        <v>0.03</v>
      </c>
      <c r="J15" s="332"/>
      <c r="K15" s="330"/>
      <c r="L15" s="849" t="str">
        <f t="shared" si="0"/>
        <v>3.464</v>
      </c>
      <c r="M15" s="850"/>
      <c r="N15" s="851"/>
      <c r="O15" s="372"/>
      <c r="P15" s="373"/>
      <c r="Q15" s="349"/>
      <c r="R15" s="379">
        <v>3</v>
      </c>
      <c r="S15" s="332"/>
      <c r="T15" s="330"/>
      <c r="U15" s="372">
        <v>3</v>
      </c>
      <c r="V15" s="373"/>
      <c r="W15" s="349"/>
      <c r="X15" s="379">
        <v>0.003</v>
      </c>
      <c r="Y15" s="332"/>
      <c r="Z15" s="330"/>
      <c r="AA15" s="372">
        <v>3</v>
      </c>
      <c r="AB15" s="373"/>
      <c r="AC15" s="349"/>
      <c r="AD15" s="372">
        <v>3</v>
      </c>
      <c r="AE15" s="373"/>
      <c r="AF15" s="349"/>
      <c r="AG15" s="372">
        <v>3</v>
      </c>
      <c r="AH15" s="373"/>
      <c r="AI15" s="349"/>
      <c r="AJ15" s="372">
        <v>3</v>
      </c>
      <c r="AK15" s="373"/>
      <c r="AL15" s="373"/>
      <c r="AM15" s="349"/>
      <c r="AN15" s="372">
        <v>3</v>
      </c>
      <c r="AO15" s="373"/>
      <c r="AP15" s="373"/>
      <c r="AQ15" s="373"/>
      <c r="AR15" s="349"/>
      <c r="AS15" s="853" t="s">
        <v>283</v>
      </c>
      <c r="AT15" s="853"/>
      <c r="AU15" s="853"/>
      <c r="AV15" s="853"/>
      <c r="AW15" s="854"/>
      <c r="AX15" s="886"/>
      <c r="AY15" s="886"/>
      <c r="AZ15" s="886"/>
      <c r="BA15" s="886"/>
      <c r="BB15" s="887"/>
      <c r="BF15" s="71" t="s">
        <v>281</v>
      </c>
      <c r="BG15" s="67">
        <f t="shared" si="1"/>
        <v>0</v>
      </c>
      <c r="BI15"/>
      <c r="BJ15"/>
      <c r="BM15" s="20"/>
    </row>
    <row r="16" spans="1:65" ht="24" customHeight="1">
      <c r="A16" s="25"/>
      <c r="B16" s="372">
        <v>4</v>
      </c>
      <c r="C16" s="373"/>
      <c r="D16" s="373"/>
      <c r="E16" s="349"/>
      <c r="F16" s="379">
        <v>4</v>
      </c>
      <c r="G16" s="332"/>
      <c r="H16" s="330"/>
      <c r="I16" s="379">
        <v>-0.004</v>
      </c>
      <c r="J16" s="332"/>
      <c r="K16" s="330"/>
      <c r="L16" s="849" t="str">
        <f t="shared" si="0"/>
        <v>摘要の選択</v>
      </c>
      <c r="M16" s="850"/>
      <c r="N16" s="851"/>
      <c r="O16" s="372"/>
      <c r="P16" s="373"/>
      <c r="Q16" s="349"/>
      <c r="R16" s="379">
        <v>4</v>
      </c>
      <c r="S16" s="332"/>
      <c r="T16" s="330"/>
      <c r="U16" s="372">
        <v>4</v>
      </c>
      <c r="V16" s="373"/>
      <c r="W16" s="349"/>
      <c r="X16" s="379">
        <v>0.004</v>
      </c>
      <c r="Y16" s="332"/>
      <c r="Z16" s="330"/>
      <c r="AA16" s="372">
        <v>4</v>
      </c>
      <c r="AB16" s="373"/>
      <c r="AC16" s="349"/>
      <c r="AD16" s="372">
        <v>4</v>
      </c>
      <c r="AE16" s="373"/>
      <c r="AF16" s="349"/>
      <c r="AG16" s="372">
        <v>4</v>
      </c>
      <c r="AH16" s="373"/>
      <c r="AI16" s="349"/>
      <c r="AJ16" s="372">
        <v>4</v>
      </c>
      <c r="AK16" s="373"/>
      <c r="AL16" s="373"/>
      <c r="AM16" s="349"/>
      <c r="AN16" s="372">
        <v>4</v>
      </c>
      <c r="AO16" s="373"/>
      <c r="AP16" s="373"/>
      <c r="AQ16" s="373"/>
      <c r="AR16" s="349"/>
      <c r="AS16" s="853"/>
      <c r="AT16" s="853"/>
      <c r="AU16" s="853"/>
      <c r="AV16" s="853"/>
      <c r="AW16" s="854"/>
      <c r="AX16" s="886"/>
      <c r="AY16" s="886"/>
      <c r="AZ16" s="886"/>
      <c r="BA16" s="886"/>
      <c r="BB16" s="887"/>
      <c r="BF16" s="132" t="s">
        <v>282</v>
      </c>
      <c r="BG16" s="67">
        <f t="shared" si="1"/>
        <v>4</v>
      </c>
      <c r="BI16"/>
      <c r="BJ16"/>
      <c r="BM16" s="20"/>
    </row>
    <row r="17" spans="1:65" ht="24" customHeight="1">
      <c r="A17" s="25"/>
      <c r="B17" s="372">
        <v>5</v>
      </c>
      <c r="C17" s="373"/>
      <c r="D17" s="373"/>
      <c r="E17" s="349"/>
      <c r="F17" s="379">
        <v>5</v>
      </c>
      <c r="G17" s="332"/>
      <c r="H17" s="330"/>
      <c r="I17" s="379">
        <v>0.005</v>
      </c>
      <c r="J17" s="332"/>
      <c r="K17" s="330"/>
      <c r="L17" s="849" t="str">
        <f t="shared" si="0"/>
        <v>摘要の選択</v>
      </c>
      <c r="M17" s="850"/>
      <c r="N17" s="851"/>
      <c r="O17" s="372"/>
      <c r="P17" s="373"/>
      <c r="Q17" s="349"/>
      <c r="R17" s="379">
        <v>5</v>
      </c>
      <c r="S17" s="332"/>
      <c r="T17" s="330"/>
      <c r="U17" s="372">
        <v>5</v>
      </c>
      <c r="V17" s="373"/>
      <c r="W17" s="349"/>
      <c r="X17" s="379">
        <v>0.005</v>
      </c>
      <c r="Y17" s="332"/>
      <c r="Z17" s="330"/>
      <c r="AA17" s="372">
        <v>5</v>
      </c>
      <c r="AB17" s="373"/>
      <c r="AC17" s="349"/>
      <c r="AD17" s="372">
        <v>5</v>
      </c>
      <c r="AE17" s="373"/>
      <c r="AF17" s="349"/>
      <c r="AG17" s="372">
        <v>5</v>
      </c>
      <c r="AH17" s="373"/>
      <c r="AI17" s="349"/>
      <c r="AJ17" s="372">
        <v>5</v>
      </c>
      <c r="AK17" s="373"/>
      <c r="AL17" s="373"/>
      <c r="AM17" s="349"/>
      <c r="AN17" s="372">
        <v>5</v>
      </c>
      <c r="AO17" s="373"/>
      <c r="AP17" s="373"/>
      <c r="AQ17" s="373"/>
      <c r="AR17" s="349"/>
      <c r="AS17" s="853" t="s">
        <v>142</v>
      </c>
      <c r="AT17" s="853"/>
      <c r="AU17" s="853"/>
      <c r="AV17" s="853"/>
      <c r="AW17" s="854"/>
      <c r="AX17" s="886"/>
      <c r="AY17" s="886"/>
      <c r="AZ17" s="886"/>
      <c r="BA17" s="886"/>
      <c r="BB17" s="887"/>
      <c r="BF17" s="185" t="str">
        <f>IF(LEN(AS13)&lt;30,$BF$29,IF(LEN(AS13)&gt;30,$BF$28,$BF$30))</f>
        <v>既知点結合              15mm√S    </v>
      </c>
      <c r="BG17" s="67">
        <f t="shared" si="1"/>
        <v>4</v>
      </c>
      <c r="BH17"/>
      <c r="BI17"/>
      <c r="BJ17"/>
      <c r="BM17" s="20"/>
    </row>
    <row r="18" spans="1:65" ht="24" customHeight="1">
      <c r="A18" s="24"/>
      <c r="B18" s="331">
        <v>6</v>
      </c>
      <c r="C18" s="328"/>
      <c r="D18" s="328"/>
      <c r="E18" s="329"/>
      <c r="F18" s="412"/>
      <c r="G18" s="413"/>
      <c r="H18" s="414"/>
      <c r="I18" s="412">
        <v>-0.006</v>
      </c>
      <c r="J18" s="413"/>
      <c r="K18" s="414"/>
      <c r="L18" s="881" t="str">
        <f t="shared" si="0"/>
        <v>距離の入力</v>
      </c>
      <c r="M18" s="882"/>
      <c r="N18" s="883"/>
      <c r="O18" s="331"/>
      <c r="P18" s="328"/>
      <c r="Q18" s="329"/>
      <c r="R18" s="412">
        <v>6</v>
      </c>
      <c r="S18" s="413"/>
      <c r="T18" s="414"/>
      <c r="U18" s="331">
        <v>6</v>
      </c>
      <c r="V18" s="328"/>
      <c r="W18" s="329"/>
      <c r="X18" s="412">
        <v>0.006</v>
      </c>
      <c r="Y18" s="413"/>
      <c r="Z18" s="414"/>
      <c r="AA18" s="331">
        <v>6</v>
      </c>
      <c r="AB18" s="328"/>
      <c r="AC18" s="329"/>
      <c r="AD18" s="331">
        <v>6</v>
      </c>
      <c r="AE18" s="328"/>
      <c r="AF18" s="329"/>
      <c r="AG18" s="331">
        <v>6</v>
      </c>
      <c r="AH18" s="328"/>
      <c r="AI18" s="329"/>
      <c r="AJ18" s="331">
        <v>6</v>
      </c>
      <c r="AK18" s="328"/>
      <c r="AL18" s="328"/>
      <c r="AM18" s="329"/>
      <c r="AN18" s="331">
        <v>6</v>
      </c>
      <c r="AO18" s="328"/>
      <c r="AP18" s="328"/>
      <c r="AQ18" s="328"/>
      <c r="AR18" s="329"/>
      <c r="AS18" s="884" t="s">
        <v>142</v>
      </c>
      <c r="AT18" s="884"/>
      <c r="AU18" s="884"/>
      <c r="AV18" s="884"/>
      <c r="AW18" s="885"/>
      <c r="AX18" s="890"/>
      <c r="AY18" s="890"/>
      <c r="AZ18" s="890"/>
      <c r="BA18" s="890"/>
      <c r="BB18" s="891"/>
      <c r="BF18"/>
      <c r="BG18" s="67">
        <f t="shared" si="1"/>
        <v>3</v>
      </c>
      <c r="BH18"/>
      <c r="BI18" s="1"/>
      <c r="BJ18"/>
      <c r="BM18" s="20"/>
    </row>
    <row r="19" spans="1:65" ht="24" customHeight="1">
      <c r="A19" s="25"/>
      <c r="B19" s="325" t="s">
        <v>123</v>
      </c>
      <c r="C19" s="326"/>
      <c r="D19" s="326"/>
      <c r="E19" s="326"/>
      <c r="F19" s="326"/>
      <c r="G19" s="326"/>
      <c r="H19" s="326"/>
      <c r="I19" s="326"/>
      <c r="J19" s="326"/>
      <c r="K19" s="326"/>
      <c r="L19" s="326"/>
      <c r="M19" s="326"/>
      <c r="N19" s="327"/>
      <c r="O19" s="468"/>
      <c r="P19" s="468"/>
      <c r="Q19" s="468"/>
      <c r="R19" s="468"/>
      <c r="S19" s="468"/>
      <c r="T19" s="468"/>
      <c r="U19" s="468"/>
      <c r="V19" s="468"/>
      <c r="W19" s="468"/>
      <c r="X19" s="468"/>
      <c r="Y19" s="468"/>
      <c r="Z19" s="469"/>
      <c r="AA19" s="325" t="s">
        <v>124</v>
      </c>
      <c r="AB19" s="326"/>
      <c r="AC19" s="326"/>
      <c r="AD19" s="326"/>
      <c r="AE19" s="326"/>
      <c r="AF19" s="326"/>
      <c r="AG19" s="326"/>
      <c r="AH19" s="326"/>
      <c r="AI19" s="326"/>
      <c r="AJ19" s="876"/>
      <c r="AK19" s="877"/>
      <c r="AL19" s="877"/>
      <c r="AM19" s="877"/>
      <c r="AN19" s="877"/>
      <c r="AO19" s="877"/>
      <c r="AP19" s="877"/>
      <c r="AQ19" s="877"/>
      <c r="AR19" s="877"/>
      <c r="AS19" s="878"/>
      <c r="AT19" s="878"/>
      <c r="AU19" s="878"/>
      <c r="AV19" s="878"/>
      <c r="AW19" s="878"/>
      <c r="AX19" s="878"/>
      <c r="AY19" s="878"/>
      <c r="AZ19" s="878"/>
      <c r="BA19" s="878"/>
      <c r="BB19" s="879"/>
      <c r="BF19"/>
      <c r="BG19"/>
      <c r="BH19"/>
      <c r="BI19"/>
      <c r="BJ19"/>
      <c r="BM19" s="20"/>
    </row>
    <row r="20" spans="1:62" ht="12" customHeight="1">
      <c r="A20" s="27"/>
      <c r="B20" s="880"/>
      <c r="C20" s="880"/>
      <c r="D20" s="880"/>
      <c r="E20" s="880"/>
      <c r="F20" s="880"/>
      <c r="G20" s="880"/>
      <c r="H20" s="880"/>
      <c r="I20" s="880"/>
      <c r="J20" s="880"/>
      <c r="K20" s="880"/>
      <c r="L20" s="880"/>
      <c r="M20" s="880"/>
      <c r="N20" s="880"/>
      <c r="O20" s="880"/>
      <c r="P20" s="880"/>
      <c r="Q20" s="880"/>
      <c r="R20" s="880"/>
      <c r="S20" s="880"/>
      <c r="T20" s="880"/>
      <c r="U20" s="880"/>
      <c r="V20" s="880"/>
      <c r="W20" s="880"/>
      <c r="X20" s="880"/>
      <c r="Y20" s="880"/>
      <c r="Z20" s="880"/>
      <c r="AA20" s="880"/>
      <c r="AB20" s="880"/>
      <c r="AC20" s="880"/>
      <c r="AD20" s="880"/>
      <c r="AE20" s="880"/>
      <c r="AF20" s="880"/>
      <c r="AG20" s="880"/>
      <c r="AH20" s="880"/>
      <c r="AI20" s="880"/>
      <c r="AJ20" s="880"/>
      <c r="AK20" s="880"/>
      <c r="AL20" s="880"/>
      <c r="AM20" s="880"/>
      <c r="AN20" s="880"/>
      <c r="AO20" s="880"/>
      <c r="AP20" s="880"/>
      <c r="AQ20" s="880"/>
      <c r="AR20" s="880"/>
      <c r="AS20" s="880"/>
      <c r="AT20" s="880"/>
      <c r="AU20" s="880"/>
      <c r="AV20" s="880"/>
      <c r="AW20" s="880"/>
      <c r="AX20" s="880"/>
      <c r="AY20" s="880"/>
      <c r="AZ20" s="880"/>
      <c r="BA20" s="880"/>
      <c r="BB20" s="880"/>
      <c r="BF20"/>
      <c r="BG20"/>
      <c r="BH20"/>
      <c r="BJ20"/>
    </row>
    <row r="21" spans="1:61" ht="21" customHeight="1">
      <c r="A21" s="25"/>
      <c r="B21" s="369" t="s">
        <v>96</v>
      </c>
      <c r="C21" s="370"/>
      <c r="D21" s="370"/>
      <c r="E21" s="370"/>
      <c r="F21" s="370"/>
      <c r="G21" s="370"/>
      <c r="H21" s="370"/>
      <c r="I21" s="370"/>
      <c r="J21" s="370"/>
      <c r="K21" s="371"/>
      <c r="L21" s="427" t="s">
        <v>97</v>
      </c>
      <c r="M21" s="428"/>
      <c r="N21" s="428"/>
      <c r="O21" s="428"/>
      <c r="P21" s="428"/>
      <c r="Q21" s="428"/>
      <c r="R21" s="428"/>
      <c r="S21" s="428"/>
      <c r="T21" s="428"/>
      <c r="U21" s="428"/>
      <c r="V21" s="428"/>
      <c r="W21" s="428"/>
      <c r="X21" s="428"/>
      <c r="Y21" s="428"/>
      <c r="Z21" s="428"/>
      <c r="AA21" s="428"/>
      <c r="AB21" s="428"/>
      <c r="AC21" s="428"/>
      <c r="AD21" s="428"/>
      <c r="AE21" s="428"/>
      <c r="AF21" s="428"/>
      <c r="AG21" s="428"/>
      <c r="AH21" s="428"/>
      <c r="AI21" s="428"/>
      <c r="AJ21" s="428"/>
      <c r="AK21" s="533"/>
      <c r="AL21" s="369" t="s">
        <v>137</v>
      </c>
      <c r="AM21" s="370"/>
      <c r="AN21" s="370"/>
      <c r="AO21" s="370"/>
      <c r="AP21" s="370"/>
      <c r="AQ21" s="370"/>
      <c r="AR21" s="370"/>
      <c r="AS21" s="370"/>
      <c r="AT21" s="370"/>
      <c r="AU21" s="371"/>
      <c r="AV21" s="888"/>
      <c r="AW21" s="888"/>
      <c r="AX21" s="888"/>
      <c r="AY21" s="888"/>
      <c r="AZ21" s="888"/>
      <c r="BA21" s="888"/>
      <c r="BB21" s="889"/>
      <c r="BF21" s="73" t="s">
        <v>122</v>
      </c>
      <c r="BG21" s="36" t="s">
        <v>85</v>
      </c>
      <c r="BH21" s="98" t="s">
        <v>87</v>
      </c>
      <c r="BI21"/>
    </row>
    <row r="22" spans="1:62" ht="24" customHeight="1">
      <c r="A22" s="25"/>
      <c r="B22" s="733"/>
      <c r="C22" s="734"/>
      <c r="D22" s="734"/>
      <c r="E22" s="734"/>
      <c r="F22" s="734"/>
      <c r="G22" s="734"/>
      <c r="H22" s="734"/>
      <c r="I22" s="734"/>
      <c r="J22" s="734"/>
      <c r="K22" s="735"/>
      <c r="L22" s="861"/>
      <c r="M22" s="862"/>
      <c r="N22" s="862"/>
      <c r="O22" s="862"/>
      <c r="P22" s="862"/>
      <c r="Q22" s="862"/>
      <c r="R22" s="862"/>
      <c r="S22" s="862"/>
      <c r="T22" s="862"/>
      <c r="U22" s="862"/>
      <c r="V22" s="862"/>
      <c r="W22" s="862"/>
      <c r="X22" s="862"/>
      <c r="Y22" s="862"/>
      <c r="Z22" s="862"/>
      <c r="AA22" s="862"/>
      <c r="AB22" s="862"/>
      <c r="AC22" s="862"/>
      <c r="AD22" s="862"/>
      <c r="AE22" s="862"/>
      <c r="AF22" s="862"/>
      <c r="AG22" s="862"/>
      <c r="AH22" s="862"/>
      <c r="AI22" s="862"/>
      <c r="AJ22" s="862"/>
      <c r="AK22" s="863"/>
      <c r="AL22" s="369" t="s">
        <v>138</v>
      </c>
      <c r="AM22" s="370"/>
      <c r="AN22" s="370"/>
      <c r="AO22" s="370"/>
      <c r="AP22" s="370"/>
      <c r="AQ22" s="370"/>
      <c r="AR22" s="370"/>
      <c r="AS22" s="370"/>
      <c r="AT22" s="370"/>
      <c r="AU22" s="370"/>
      <c r="AV22" s="370"/>
      <c r="AW22" s="370"/>
      <c r="AX22" s="370"/>
      <c r="AY22" s="370"/>
      <c r="AZ22" s="370"/>
      <c r="BA22" s="370"/>
      <c r="BB22" s="371"/>
      <c r="BF22" s="74" t="s">
        <v>36</v>
      </c>
      <c r="BG22" s="1">
        <v>2</v>
      </c>
      <c r="BH22" s="99">
        <v>15</v>
      </c>
      <c r="BI22"/>
      <c r="BJ22" s="68"/>
    </row>
    <row r="23" spans="1:62" ht="24" customHeight="1">
      <c r="A23" s="25"/>
      <c r="B23" s="733"/>
      <c r="C23" s="734"/>
      <c r="D23" s="734"/>
      <c r="E23" s="734"/>
      <c r="F23" s="734"/>
      <c r="G23" s="734"/>
      <c r="H23" s="734"/>
      <c r="I23" s="734"/>
      <c r="J23" s="734"/>
      <c r="K23" s="735"/>
      <c r="L23" s="861"/>
      <c r="M23" s="862"/>
      <c r="N23" s="862"/>
      <c r="O23" s="862"/>
      <c r="P23" s="862"/>
      <c r="Q23" s="862"/>
      <c r="R23" s="862"/>
      <c r="S23" s="862"/>
      <c r="T23" s="862"/>
      <c r="U23" s="862"/>
      <c r="V23" s="862"/>
      <c r="W23" s="862"/>
      <c r="X23" s="862"/>
      <c r="Y23" s="862"/>
      <c r="Z23" s="862"/>
      <c r="AA23" s="862"/>
      <c r="AB23" s="862"/>
      <c r="AC23" s="862"/>
      <c r="AD23" s="862"/>
      <c r="AE23" s="862"/>
      <c r="AF23" s="862"/>
      <c r="AG23" s="862"/>
      <c r="AH23" s="862"/>
      <c r="AI23" s="862"/>
      <c r="AJ23" s="862"/>
      <c r="AK23" s="863"/>
      <c r="AL23" s="369" t="s">
        <v>139</v>
      </c>
      <c r="AM23" s="370"/>
      <c r="AN23" s="371"/>
      <c r="AO23" s="369" t="s">
        <v>140</v>
      </c>
      <c r="AP23" s="370"/>
      <c r="AQ23" s="370"/>
      <c r="AR23" s="370"/>
      <c r="AS23" s="371"/>
      <c r="AT23" s="369" t="s">
        <v>98</v>
      </c>
      <c r="AU23" s="370"/>
      <c r="AV23" s="371"/>
      <c r="AW23" s="370" t="s">
        <v>99</v>
      </c>
      <c r="AX23" s="370"/>
      <c r="AY23" s="370"/>
      <c r="AZ23" s="369" t="s">
        <v>141</v>
      </c>
      <c r="BA23" s="370"/>
      <c r="BB23" s="371"/>
      <c r="BF23" s="74" t="s">
        <v>37</v>
      </c>
      <c r="BG23" s="1">
        <v>5</v>
      </c>
      <c r="BH23" s="99">
        <v>15</v>
      </c>
      <c r="BI23"/>
      <c r="BJ23" s="68"/>
    </row>
    <row r="24" spans="1:62" ht="24" customHeight="1">
      <c r="A24" s="25"/>
      <c r="B24" s="733"/>
      <c r="C24" s="734"/>
      <c r="D24" s="734"/>
      <c r="E24" s="734"/>
      <c r="F24" s="734"/>
      <c r="G24" s="734"/>
      <c r="H24" s="734"/>
      <c r="I24" s="734"/>
      <c r="J24" s="734"/>
      <c r="K24" s="735"/>
      <c r="L24" s="861"/>
      <c r="M24" s="862"/>
      <c r="N24" s="862"/>
      <c r="O24" s="862"/>
      <c r="P24" s="862"/>
      <c r="Q24" s="862"/>
      <c r="R24" s="862"/>
      <c r="S24" s="862"/>
      <c r="T24" s="862"/>
      <c r="U24" s="862"/>
      <c r="V24" s="862"/>
      <c r="W24" s="862"/>
      <c r="X24" s="862"/>
      <c r="Y24" s="862"/>
      <c r="Z24" s="862"/>
      <c r="AA24" s="862"/>
      <c r="AB24" s="862"/>
      <c r="AC24" s="862"/>
      <c r="AD24" s="862"/>
      <c r="AE24" s="862"/>
      <c r="AF24" s="862"/>
      <c r="AG24" s="862"/>
      <c r="AH24" s="862"/>
      <c r="AI24" s="862"/>
      <c r="AJ24" s="862"/>
      <c r="AK24" s="863"/>
      <c r="AL24" s="855"/>
      <c r="AM24" s="856"/>
      <c r="AN24" s="857"/>
      <c r="AO24" s="867"/>
      <c r="AP24" s="868"/>
      <c r="AQ24" s="868"/>
      <c r="AR24" s="868"/>
      <c r="AS24" s="869"/>
      <c r="AT24" s="379"/>
      <c r="AU24" s="332"/>
      <c r="AV24" s="330"/>
      <c r="AW24" s="332"/>
      <c r="AX24" s="332"/>
      <c r="AY24" s="332"/>
      <c r="AZ24" s="379"/>
      <c r="BA24" s="332"/>
      <c r="BB24" s="330"/>
      <c r="BF24" s="74" t="s">
        <v>38</v>
      </c>
      <c r="BG24" s="1">
        <v>10</v>
      </c>
      <c r="BH24" s="99">
        <v>15</v>
      </c>
      <c r="BI24"/>
      <c r="BJ24" s="68"/>
    </row>
    <row r="25" spans="1:62" ht="24" customHeight="1">
      <c r="A25" s="25"/>
      <c r="B25" s="372"/>
      <c r="C25" s="373"/>
      <c r="D25" s="373"/>
      <c r="E25" s="373"/>
      <c r="F25" s="373"/>
      <c r="G25" s="373"/>
      <c r="H25" s="373"/>
      <c r="I25" s="373"/>
      <c r="J25" s="373"/>
      <c r="K25" s="349"/>
      <c r="L25" s="861"/>
      <c r="M25" s="862"/>
      <c r="N25" s="862"/>
      <c r="O25" s="862"/>
      <c r="P25" s="862"/>
      <c r="Q25" s="862"/>
      <c r="R25" s="862"/>
      <c r="S25" s="862"/>
      <c r="T25" s="862"/>
      <c r="U25" s="862"/>
      <c r="V25" s="862"/>
      <c r="W25" s="862"/>
      <c r="X25" s="862"/>
      <c r="Y25" s="862"/>
      <c r="Z25" s="862"/>
      <c r="AA25" s="862"/>
      <c r="AB25" s="862"/>
      <c r="AC25" s="862"/>
      <c r="AD25" s="862"/>
      <c r="AE25" s="862"/>
      <c r="AF25" s="862"/>
      <c r="AG25" s="862"/>
      <c r="AH25" s="862"/>
      <c r="AI25" s="862"/>
      <c r="AJ25" s="862"/>
      <c r="AK25" s="863"/>
      <c r="AL25" s="855"/>
      <c r="AM25" s="856"/>
      <c r="AN25" s="857"/>
      <c r="AO25" s="855"/>
      <c r="AP25" s="856"/>
      <c r="AQ25" s="856"/>
      <c r="AR25" s="856"/>
      <c r="AS25" s="857"/>
      <c r="AT25" s="379"/>
      <c r="AU25" s="332"/>
      <c r="AV25" s="330"/>
      <c r="AW25" s="332"/>
      <c r="AX25" s="332"/>
      <c r="AY25" s="332"/>
      <c r="AZ25" s="379"/>
      <c r="BA25" s="332"/>
      <c r="BB25" s="330"/>
      <c r="BF25" s="74" t="s">
        <v>39</v>
      </c>
      <c r="BG25" s="1">
        <v>20</v>
      </c>
      <c r="BH25" s="99">
        <v>25</v>
      </c>
      <c r="BI25"/>
      <c r="BJ25" s="68"/>
    </row>
    <row r="26" spans="1:62" ht="24" customHeight="1">
      <c r="A26" s="25"/>
      <c r="B26" s="369" t="s">
        <v>100</v>
      </c>
      <c r="C26" s="370"/>
      <c r="D26" s="370"/>
      <c r="E26" s="370"/>
      <c r="F26" s="370"/>
      <c r="G26" s="370"/>
      <c r="H26" s="370"/>
      <c r="I26" s="370"/>
      <c r="J26" s="370"/>
      <c r="K26" s="371"/>
      <c r="L26" s="861"/>
      <c r="M26" s="862"/>
      <c r="N26" s="862"/>
      <c r="O26" s="862"/>
      <c r="P26" s="862"/>
      <c r="Q26" s="862"/>
      <c r="R26" s="862"/>
      <c r="S26" s="862"/>
      <c r="T26" s="862"/>
      <c r="U26" s="862"/>
      <c r="V26" s="862"/>
      <c r="W26" s="862"/>
      <c r="X26" s="862"/>
      <c r="Y26" s="862"/>
      <c r="Z26" s="862"/>
      <c r="AA26" s="862"/>
      <c r="AB26" s="862"/>
      <c r="AC26" s="862"/>
      <c r="AD26" s="862"/>
      <c r="AE26" s="862"/>
      <c r="AF26" s="862"/>
      <c r="AG26" s="862"/>
      <c r="AH26" s="862"/>
      <c r="AI26" s="862"/>
      <c r="AJ26" s="862"/>
      <c r="AK26" s="863"/>
      <c r="AL26" s="855"/>
      <c r="AM26" s="856"/>
      <c r="AN26" s="857"/>
      <c r="AO26" s="855"/>
      <c r="AP26" s="856"/>
      <c r="AQ26" s="856"/>
      <c r="AR26" s="856"/>
      <c r="AS26" s="857"/>
      <c r="AT26" s="379"/>
      <c r="AU26" s="332"/>
      <c r="AV26" s="330"/>
      <c r="AW26" s="332"/>
      <c r="AX26" s="332"/>
      <c r="AY26" s="332"/>
      <c r="AZ26" s="379"/>
      <c r="BA26" s="332"/>
      <c r="BB26" s="330"/>
      <c r="BF26" s="75" t="s">
        <v>40</v>
      </c>
      <c r="BG26" s="61">
        <v>5</v>
      </c>
      <c r="BH26" s="100">
        <v>15</v>
      </c>
      <c r="BI26"/>
      <c r="BJ26" s="68"/>
    </row>
    <row r="27" spans="1:65" ht="24" customHeight="1">
      <c r="A27" s="25"/>
      <c r="B27" s="733"/>
      <c r="C27" s="734"/>
      <c r="D27" s="734"/>
      <c r="E27" s="734"/>
      <c r="F27" s="734"/>
      <c r="G27" s="734"/>
      <c r="H27" s="734"/>
      <c r="I27" s="734"/>
      <c r="J27" s="734"/>
      <c r="K27" s="735"/>
      <c r="L27" s="861"/>
      <c r="M27" s="862"/>
      <c r="N27" s="862"/>
      <c r="O27" s="862"/>
      <c r="P27" s="862"/>
      <c r="Q27" s="862"/>
      <c r="R27" s="862"/>
      <c r="S27" s="862"/>
      <c r="T27" s="862"/>
      <c r="U27" s="862"/>
      <c r="V27" s="862"/>
      <c r="W27" s="862"/>
      <c r="X27" s="862"/>
      <c r="Y27" s="862"/>
      <c r="Z27" s="862"/>
      <c r="AA27" s="862"/>
      <c r="AB27" s="862"/>
      <c r="AC27" s="862"/>
      <c r="AD27" s="862"/>
      <c r="AE27" s="862"/>
      <c r="AF27" s="862"/>
      <c r="AG27" s="862"/>
      <c r="AH27" s="862"/>
      <c r="AI27" s="862"/>
      <c r="AJ27" s="862"/>
      <c r="AK27" s="863"/>
      <c r="AL27" s="855"/>
      <c r="AM27" s="856"/>
      <c r="AN27" s="857"/>
      <c r="AO27" s="855"/>
      <c r="AP27" s="856"/>
      <c r="AQ27" s="856"/>
      <c r="AR27" s="856"/>
      <c r="AS27" s="857"/>
      <c r="AT27" s="379"/>
      <c r="AU27" s="332"/>
      <c r="AV27" s="330"/>
      <c r="AW27" s="332"/>
      <c r="AX27" s="332"/>
      <c r="AY27" s="332"/>
      <c r="AZ27" s="379"/>
      <c r="BA27" s="332"/>
      <c r="BB27" s="330"/>
      <c r="BF27" s="70"/>
      <c r="BG27" s="1"/>
      <c r="BH27" s="72">
        <f>IF(F5=BF21,0,IF(F5=BF22,1,IF(F5=BF23,2,IF(F5=BF24,3,IF(F5=BF25,4,5)))))</f>
        <v>1</v>
      </c>
      <c r="BI27" s="68"/>
      <c r="BJ27"/>
      <c r="BM27" s="20"/>
    </row>
    <row r="28" spans="1:65" ht="24" customHeight="1">
      <c r="A28" s="25"/>
      <c r="B28" s="733"/>
      <c r="C28" s="734"/>
      <c r="D28" s="734"/>
      <c r="E28" s="734"/>
      <c r="F28" s="734"/>
      <c r="G28" s="734"/>
      <c r="H28" s="734"/>
      <c r="I28" s="734"/>
      <c r="J28" s="734"/>
      <c r="K28" s="735"/>
      <c r="L28" s="861"/>
      <c r="M28" s="862"/>
      <c r="N28" s="862"/>
      <c r="O28" s="862"/>
      <c r="P28" s="862"/>
      <c r="Q28" s="862"/>
      <c r="R28" s="862"/>
      <c r="S28" s="862"/>
      <c r="T28" s="862"/>
      <c r="U28" s="862"/>
      <c r="V28" s="862"/>
      <c r="W28" s="862"/>
      <c r="X28" s="862"/>
      <c r="Y28" s="862"/>
      <c r="Z28" s="862"/>
      <c r="AA28" s="862"/>
      <c r="AB28" s="862"/>
      <c r="AC28" s="862"/>
      <c r="AD28" s="862"/>
      <c r="AE28" s="862"/>
      <c r="AF28" s="862"/>
      <c r="AG28" s="862"/>
      <c r="AH28" s="862"/>
      <c r="AI28" s="862"/>
      <c r="AJ28" s="862"/>
      <c r="AK28" s="863"/>
      <c r="AL28" s="855"/>
      <c r="AM28" s="856"/>
      <c r="AN28" s="857"/>
      <c r="AO28" s="855"/>
      <c r="AP28" s="856"/>
      <c r="AQ28" s="856"/>
      <c r="AR28" s="856"/>
      <c r="AS28" s="857"/>
      <c r="AT28" s="379"/>
      <c r="AU28" s="332"/>
      <c r="AV28" s="330"/>
      <c r="AW28" s="332"/>
      <c r="AX28" s="332"/>
      <c r="AY28" s="332"/>
      <c r="AZ28" s="379"/>
      <c r="BA28" s="332"/>
      <c r="BB28" s="330"/>
      <c r="BF28" s="56" t="str">
        <f>IF($BH$27=0,"",BG$21&amp;"                    "&amp;INDEX($BG$22:$BG$26,$BH$27,1)&amp;"mm√S    ")</f>
        <v>環閉合                    2mm√S    </v>
      </c>
      <c r="BG28" s="1"/>
      <c r="BH28" s="67">
        <f>LEN(BF28)</f>
        <v>32</v>
      </c>
      <c r="BJ28"/>
      <c r="BM28" s="20"/>
    </row>
    <row r="29" spans="1:65" ht="24" customHeight="1">
      <c r="A29" s="25"/>
      <c r="B29" s="746"/>
      <c r="C29" s="599"/>
      <c r="D29" s="599"/>
      <c r="E29" s="599"/>
      <c r="F29" s="599"/>
      <c r="G29" s="599"/>
      <c r="H29" s="599"/>
      <c r="I29" s="599"/>
      <c r="J29" s="599"/>
      <c r="K29" s="747"/>
      <c r="L29" s="864"/>
      <c r="M29" s="865"/>
      <c r="N29" s="865"/>
      <c r="O29" s="865"/>
      <c r="P29" s="865"/>
      <c r="Q29" s="865"/>
      <c r="R29" s="865"/>
      <c r="S29" s="865"/>
      <c r="T29" s="865"/>
      <c r="U29" s="865"/>
      <c r="V29" s="865"/>
      <c r="W29" s="865"/>
      <c r="X29" s="865"/>
      <c r="Y29" s="865"/>
      <c r="Z29" s="865"/>
      <c r="AA29" s="865"/>
      <c r="AB29" s="865"/>
      <c r="AC29" s="865"/>
      <c r="AD29" s="865"/>
      <c r="AE29" s="865"/>
      <c r="AF29" s="865"/>
      <c r="AG29" s="865"/>
      <c r="AH29" s="865"/>
      <c r="AI29" s="865"/>
      <c r="AJ29" s="865"/>
      <c r="AK29" s="866"/>
      <c r="AL29" s="858"/>
      <c r="AM29" s="859"/>
      <c r="AN29" s="860"/>
      <c r="AO29" s="858"/>
      <c r="AP29" s="859"/>
      <c r="AQ29" s="859"/>
      <c r="AR29" s="859"/>
      <c r="AS29" s="860"/>
      <c r="AT29" s="412"/>
      <c r="AU29" s="413"/>
      <c r="AV29" s="414"/>
      <c r="AW29" s="413"/>
      <c r="AX29" s="413"/>
      <c r="AY29" s="413"/>
      <c r="AZ29" s="412"/>
      <c r="BA29" s="413"/>
      <c r="BB29" s="414"/>
      <c r="BF29" s="57" t="str">
        <f>IF($BH$27=0,"",$BH$21&amp;"              "&amp;INDEX($BH$22:$BH$26,$BH$27,1)&amp;"mm√S    ")</f>
        <v>既知点結合              15mm√S    </v>
      </c>
      <c r="BG29" s="1"/>
      <c r="BH29" s="68">
        <f>LEN(BF29)</f>
        <v>29</v>
      </c>
      <c r="BJ29"/>
      <c r="BM29" s="20"/>
    </row>
    <row r="30" spans="1:61" ht="12.75">
      <c r="A30" s="28"/>
      <c r="AG30" s="20"/>
      <c r="AH30" s="20"/>
      <c r="AI30" s="20"/>
      <c r="AJ30" s="29"/>
      <c r="AK30" s="29"/>
      <c r="AL30" s="29"/>
      <c r="AM30" s="29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BF30" s="68"/>
      <c r="BG30"/>
      <c r="BH30" s="68"/>
      <c r="BI30" s="68"/>
    </row>
    <row r="31" spans="59:61" ht="12.75">
      <c r="BG31"/>
      <c r="BH31"/>
      <c r="BI31" s="68"/>
    </row>
    <row r="32" spans="59:61" ht="12.75">
      <c r="BG32"/>
      <c r="BH32"/>
      <c r="BI32" s="68"/>
    </row>
    <row r="33" spans="60:61" ht="12.75">
      <c r="BH33"/>
      <c r="BI33" s="68"/>
    </row>
    <row r="34" ht="12.75">
      <c r="BG34" s="68"/>
    </row>
    <row r="35" spans="59:60" ht="12.75">
      <c r="BG35" s="68"/>
      <c r="BH35" s="68"/>
    </row>
    <row r="36" spans="59:60" ht="12.75">
      <c r="BG36" s="68"/>
      <c r="BH36" s="68"/>
    </row>
    <row r="37" spans="59:60" ht="12.75">
      <c r="BG37" s="68"/>
      <c r="BH37" s="68"/>
    </row>
    <row r="38" spans="59:60" ht="12.75">
      <c r="BG38" s="68"/>
      <c r="BH38" s="68"/>
    </row>
    <row r="39" spans="59:60" ht="12.75">
      <c r="BG39" s="68"/>
      <c r="BH39" s="68"/>
    </row>
    <row r="40" ht="12.75">
      <c r="BH40" s="68"/>
    </row>
  </sheetData>
  <sheetProtection selectLockedCells="1"/>
  <mergeCells count="190">
    <mergeCell ref="W9:Y9"/>
    <mergeCell ref="AV8:BA8"/>
    <mergeCell ref="AV9:BB9"/>
    <mergeCell ref="AF8:AH8"/>
    <mergeCell ref="AF9:AH9"/>
    <mergeCell ref="AQ8:AU8"/>
    <mergeCell ref="AQ9:AU9"/>
    <mergeCell ref="AI8:AP8"/>
    <mergeCell ref="AO9:AP9"/>
    <mergeCell ref="AX11:BB12"/>
    <mergeCell ref="B11:E12"/>
    <mergeCell ref="L11:N12"/>
    <mergeCell ref="F11:H12"/>
    <mergeCell ref="AD11:AF12"/>
    <mergeCell ref="R11:T12"/>
    <mergeCell ref="U11:W12"/>
    <mergeCell ref="AS11:AW12"/>
    <mergeCell ref="AA11:AC12"/>
    <mergeCell ref="X11:Z12"/>
    <mergeCell ref="AL21:AU21"/>
    <mergeCell ref="AL23:AN23"/>
    <mergeCell ref="P8:V8"/>
    <mergeCell ref="P9:V9"/>
    <mergeCell ref="Z8:AE8"/>
    <mergeCell ref="Z9:AE9"/>
    <mergeCell ref="AG11:AI12"/>
    <mergeCell ref="AJ11:AM12"/>
    <mergeCell ref="AN11:AR12"/>
    <mergeCell ref="B10:BB10"/>
    <mergeCell ref="AV21:BB21"/>
    <mergeCell ref="AX18:BB18"/>
    <mergeCell ref="AI9:AN9"/>
    <mergeCell ref="AL24:AN24"/>
    <mergeCell ref="AW23:AY23"/>
    <mergeCell ref="AW24:AY24"/>
    <mergeCell ref="AT23:AV23"/>
    <mergeCell ref="AT24:AV24"/>
    <mergeCell ref="AX17:BB17"/>
    <mergeCell ref="AN17:AR17"/>
    <mergeCell ref="AZ23:BB23"/>
    <mergeCell ref="AX13:BB13"/>
    <mergeCell ref="AX14:BB14"/>
    <mergeCell ref="AX15:BB15"/>
    <mergeCell ref="AX16:BB16"/>
    <mergeCell ref="AL22:BB22"/>
    <mergeCell ref="AS14:AW14"/>
    <mergeCell ref="AS15:AW15"/>
    <mergeCell ref="AS16:AW16"/>
    <mergeCell ref="AS17:AW17"/>
    <mergeCell ref="AJ19:BB19"/>
    <mergeCell ref="AA18:AC18"/>
    <mergeCell ref="B20:BB20"/>
    <mergeCell ref="L18:N18"/>
    <mergeCell ref="AJ18:AM18"/>
    <mergeCell ref="AG18:AI18"/>
    <mergeCell ref="AN18:AR18"/>
    <mergeCell ref="I18:K18"/>
    <mergeCell ref="AS18:AW18"/>
    <mergeCell ref="AD18:AF18"/>
    <mergeCell ref="L21:AK21"/>
    <mergeCell ref="B19:N19"/>
    <mergeCell ref="O18:Q18"/>
    <mergeCell ref="O19:Z19"/>
    <mergeCell ref="B18:E18"/>
    <mergeCell ref="X18:Z18"/>
    <mergeCell ref="F18:H18"/>
    <mergeCell ref="B21:K21"/>
    <mergeCell ref="AA19:AI19"/>
    <mergeCell ref="U18:W18"/>
    <mergeCell ref="B8:D8"/>
    <mergeCell ref="B9:D9"/>
    <mergeCell ref="M8:O8"/>
    <mergeCell ref="M9:O9"/>
    <mergeCell ref="E8:L8"/>
    <mergeCell ref="E9:L9"/>
    <mergeCell ref="AN13:AR13"/>
    <mergeCell ref="AJ13:AM13"/>
    <mergeCell ref="AJ14:AM14"/>
    <mergeCell ref="AJ15:AM15"/>
    <mergeCell ref="AG14:AI14"/>
    <mergeCell ref="AG15:AI15"/>
    <mergeCell ref="AN14:AR14"/>
    <mergeCell ref="AN15:AR15"/>
    <mergeCell ref="AN16:AR16"/>
    <mergeCell ref="AJ17:AM17"/>
    <mergeCell ref="AG17:AI17"/>
    <mergeCell ref="AJ16:AM16"/>
    <mergeCell ref="AG16:AI16"/>
    <mergeCell ref="AA16:AC16"/>
    <mergeCell ref="AD15:AF15"/>
    <mergeCell ref="AD16:AF16"/>
    <mergeCell ref="AA17:AC17"/>
    <mergeCell ref="AD17:AF17"/>
    <mergeCell ref="AD14:AF14"/>
    <mergeCell ref="AA15:AC15"/>
    <mergeCell ref="X13:Z13"/>
    <mergeCell ref="X14:Z14"/>
    <mergeCell ref="AA13:AC13"/>
    <mergeCell ref="AA14:AC14"/>
    <mergeCell ref="X15:Z15"/>
    <mergeCell ref="AD13:AF13"/>
    <mergeCell ref="F5:T5"/>
    <mergeCell ref="U16:W16"/>
    <mergeCell ref="U13:W13"/>
    <mergeCell ref="U14:W14"/>
    <mergeCell ref="U15:W15"/>
    <mergeCell ref="O11:Q12"/>
    <mergeCell ref="R16:T16"/>
    <mergeCell ref="F16:H16"/>
    <mergeCell ref="I11:K12"/>
    <mergeCell ref="W8:Y8"/>
    <mergeCell ref="R13:T13"/>
    <mergeCell ref="F13:H13"/>
    <mergeCell ref="O13:Q13"/>
    <mergeCell ref="X16:Z16"/>
    <mergeCell ref="O16:Q16"/>
    <mergeCell ref="L16:N16"/>
    <mergeCell ref="AG13:AI13"/>
    <mergeCell ref="B14:E14"/>
    <mergeCell ref="I14:K14"/>
    <mergeCell ref="L14:N14"/>
    <mergeCell ref="R14:T14"/>
    <mergeCell ref="F14:H14"/>
    <mergeCell ref="O14:Q14"/>
    <mergeCell ref="B13:E13"/>
    <mergeCell ref="I13:K13"/>
    <mergeCell ref="L13:N13"/>
    <mergeCell ref="B15:E15"/>
    <mergeCell ref="I15:K15"/>
    <mergeCell ref="L15:N15"/>
    <mergeCell ref="O15:Q15"/>
    <mergeCell ref="B17:E17"/>
    <mergeCell ref="I17:K17"/>
    <mergeCell ref="B16:E16"/>
    <mergeCell ref="I16:K16"/>
    <mergeCell ref="R18:T18"/>
    <mergeCell ref="AZ24:BB24"/>
    <mergeCell ref="AZ25:BB25"/>
    <mergeCell ref="L22:AK29"/>
    <mergeCell ref="AO23:AS23"/>
    <mergeCell ref="AO24:AS24"/>
    <mergeCell ref="AO25:AS25"/>
    <mergeCell ref="AO26:AS26"/>
    <mergeCell ref="AO27:AS27"/>
    <mergeCell ref="AZ26:BB26"/>
    <mergeCell ref="AT25:AV25"/>
    <mergeCell ref="AT26:AV26"/>
    <mergeCell ref="AW25:AY25"/>
    <mergeCell ref="AW26:AY26"/>
    <mergeCell ref="B29:K29"/>
    <mergeCell ref="AL27:AN27"/>
    <mergeCell ref="AL29:AN29"/>
    <mergeCell ref="B25:K25"/>
    <mergeCell ref="B26:K26"/>
    <mergeCell ref="B27:K27"/>
    <mergeCell ref="B28:K28"/>
    <mergeCell ref="AL28:AN28"/>
    <mergeCell ref="AZ27:BB27"/>
    <mergeCell ref="AZ28:BB28"/>
    <mergeCell ref="AZ29:BB29"/>
    <mergeCell ref="AT27:AV27"/>
    <mergeCell ref="AT28:AV28"/>
    <mergeCell ref="AT29:AV29"/>
    <mergeCell ref="AW27:AY27"/>
    <mergeCell ref="AW29:AY29"/>
    <mergeCell ref="AW28:AY28"/>
    <mergeCell ref="AO28:AS28"/>
    <mergeCell ref="AO29:AS29"/>
    <mergeCell ref="AL26:AN26"/>
    <mergeCell ref="AL25:AN25"/>
    <mergeCell ref="B22:K22"/>
    <mergeCell ref="B23:K23"/>
    <mergeCell ref="B24:K24"/>
    <mergeCell ref="B1:BB1"/>
    <mergeCell ref="B3:BB3"/>
    <mergeCell ref="B5:E5"/>
    <mergeCell ref="B2:BB2"/>
    <mergeCell ref="X17:Z17"/>
    <mergeCell ref="AS13:AW13"/>
    <mergeCell ref="B4:BB4"/>
    <mergeCell ref="U5:BB5"/>
    <mergeCell ref="B6:BB6"/>
    <mergeCell ref="U17:W17"/>
    <mergeCell ref="L17:N17"/>
    <mergeCell ref="R17:T17"/>
    <mergeCell ref="F17:H17"/>
    <mergeCell ref="O17:Q17"/>
    <mergeCell ref="B7:BB7"/>
    <mergeCell ref="R15:T15"/>
    <mergeCell ref="F15:H15"/>
  </mergeCells>
  <conditionalFormatting sqref="F5:T5">
    <cfRule type="cellIs" priority="1" dxfId="9" operator="equal" stopIfTrue="1">
      <formula>$BF$21</formula>
    </cfRule>
  </conditionalFormatting>
  <conditionalFormatting sqref="L13:N18">
    <cfRule type="expression" priority="2" dxfId="4" stopIfTrue="1">
      <formula>IF(LEN(AS13)&lt;30,$BF$29,$BF$28)&lt;&gt;AS13</formula>
    </cfRule>
  </conditionalFormatting>
  <conditionalFormatting sqref="I13:K18">
    <cfRule type="expression" priority="3" dxfId="4" stopIfTrue="1">
      <formula>ABS(I13)*1000&gt;L13*1</formula>
    </cfRule>
  </conditionalFormatting>
  <conditionalFormatting sqref="AS13:AW18">
    <cfRule type="cellIs" priority="4" dxfId="10" operator="notEqual" stopIfTrue="1">
      <formula>IF(LEN(AS13)&lt;30,$BF$29,IF(LEN(AS13)&gt;30,$BF$28,$BF$30))</formula>
    </cfRule>
    <cfRule type="expression" priority="5" dxfId="1" stopIfTrue="1">
      <formula>AND(B13&lt;&gt;"",I13&lt;&gt;"",AS13="")</formula>
    </cfRule>
  </conditionalFormatting>
  <dataValidations count="2">
    <dataValidation type="list" allowBlank="1" showInputMessage="1" showErrorMessage="1" sqref="AS13:AS18">
      <formula1>$BF$27:$BF$29</formula1>
    </dataValidation>
    <dataValidation type="list" allowBlank="1" showInputMessage="1" showErrorMessage="1" sqref="F5:T5">
      <formula1>$BF$21:$BF$26</formula1>
    </dataValidation>
  </dataValidations>
  <printOptions horizontalCentered="1"/>
  <pageMargins left="0.5905511811023623" right="0.5905511811023623" top="0.984251968503937" bottom="0.3937007874015748" header="0.5118110236220472" footer="0.5118110236220472"/>
  <pageSetup blackAndWhite="1" fitToHeight="1" fitToWidth="1"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>
    <tabColor indexed="42"/>
    <pageSetUpPr fitToPage="1"/>
  </sheetPr>
  <dimension ref="A1:BK40"/>
  <sheetViews>
    <sheetView showGridLines="0" showRowColHeaders="0" workbookViewId="0" topLeftCell="A1">
      <selection activeCell="A1" sqref="A1"/>
    </sheetView>
  </sheetViews>
  <sheetFormatPr defaultColWidth="8.625" defaultRowHeight="13.5"/>
  <cols>
    <col min="1" max="1" width="5.00390625" style="20" customWidth="1"/>
    <col min="2" max="5" width="2.75390625" style="22" customWidth="1"/>
    <col min="6" max="32" width="2.75390625" style="20" customWidth="1"/>
    <col min="33" max="36" width="2.75390625" style="22" customWidth="1"/>
    <col min="37" max="38" width="1.25" style="22" customWidth="1"/>
    <col min="39" max="39" width="2.75390625" style="22" customWidth="1"/>
    <col min="40" max="40" width="2.75390625" style="20" customWidth="1"/>
    <col min="41" max="42" width="2.625" style="20" customWidth="1"/>
    <col min="43" max="44" width="1.25" style="20" customWidth="1"/>
    <col min="45" max="48" width="2.75390625" style="20" customWidth="1"/>
    <col min="49" max="50" width="1.25" style="20" customWidth="1"/>
    <col min="51" max="52" width="2.75390625" style="20" customWidth="1"/>
    <col min="53" max="55" width="4.875" style="0" customWidth="1"/>
    <col min="56" max="56" width="32.00390625" style="67" hidden="1" customWidth="1"/>
    <col min="57" max="57" width="7.125" style="67" hidden="1" customWidth="1"/>
    <col min="58" max="58" width="11.00390625" style="67" hidden="1" customWidth="1"/>
    <col min="59" max="59" width="10.00390625" style="67" customWidth="1"/>
    <col min="60" max="60" width="9.625" style="67" customWidth="1"/>
    <col min="61" max="61" width="6.50390625" style="0" customWidth="1"/>
    <col min="64" max="16384" width="8.625" style="20" customWidth="1"/>
  </cols>
  <sheetData>
    <row r="1" spans="2:52" ht="21" customHeight="1"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  <c r="AP1" s="471"/>
      <c r="AQ1" s="471"/>
      <c r="AR1" s="471"/>
      <c r="AS1" s="471"/>
      <c r="AT1" s="471"/>
      <c r="AU1" s="471"/>
      <c r="AV1" s="471"/>
      <c r="AW1" s="471"/>
      <c r="AX1" s="471"/>
      <c r="AY1" s="471"/>
      <c r="AZ1" s="471"/>
    </row>
    <row r="2" spans="2:52" ht="24" customHeight="1">
      <c r="B2" s="607" t="s">
        <v>388</v>
      </c>
      <c r="C2" s="607"/>
      <c r="D2" s="607"/>
      <c r="E2" s="607"/>
      <c r="F2" s="608" t="s">
        <v>404</v>
      </c>
      <c r="G2" s="608"/>
      <c r="H2" s="608"/>
      <c r="I2" s="608"/>
      <c r="J2" s="608"/>
      <c r="K2" s="608"/>
      <c r="L2" s="608"/>
      <c r="M2" s="608"/>
      <c r="N2" s="608"/>
      <c r="O2" s="608"/>
      <c r="P2" s="608"/>
      <c r="Q2" s="608"/>
      <c r="R2" s="608"/>
      <c r="S2" s="608"/>
      <c r="T2" s="608"/>
      <c r="U2" s="608"/>
      <c r="V2" s="608"/>
      <c r="W2" s="608"/>
      <c r="X2" s="608"/>
      <c r="Y2" s="608"/>
      <c r="Z2" s="608"/>
      <c r="AA2" s="608"/>
      <c r="AB2" s="608"/>
      <c r="AC2" s="608"/>
      <c r="AD2" s="608"/>
      <c r="AE2" s="608"/>
      <c r="AF2" s="608"/>
      <c r="AG2" s="608"/>
      <c r="AH2" s="608"/>
      <c r="AI2" s="608"/>
      <c r="AJ2" s="608"/>
      <c r="AK2" s="608"/>
      <c r="AL2" s="608"/>
      <c r="AM2" s="608"/>
      <c r="AN2" s="608"/>
      <c r="AO2" s="608"/>
      <c r="AP2" s="608"/>
      <c r="AQ2" s="608"/>
      <c r="AR2" s="608"/>
      <c r="AS2" s="608"/>
      <c r="AT2" s="608"/>
      <c r="AU2" s="608"/>
      <c r="AV2" s="608"/>
      <c r="AW2" s="608"/>
      <c r="AX2" s="608"/>
      <c r="AY2" s="608"/>
      <c r="AZ2" s="608"/>
    </row>
    <row r="3" spans="2:52" ht="21" customHeight="1">
      <c r="B3" s="605" t="s">
        <v>44</v>
      </c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5"/>
      <c r="AB3" s="605"/>
      <c r="AC3" s="605"/>
      <c r="AD3" s="605"/>
      <c r="AE3" s="605"/>
      <c r="AF3" s="605"/>
      <c r="AG3" s="605"/>
      <c r="AH3" s="605"/>
      <c r="AI3" s="605"/>
      <c r="AJ3" s="605"/>
      <c r="AK3" s="605"/>
      <c r="AL3" s="605"/>
      <c r="AM3" s="605"/>
      <c r="AN3" s="605"/>
      <c r="AO3" s="605"/>
      <c r="AP3" s="605"/>
      <c r="AQ3" s="605"/>
      <c r="AR3" s="605"/>
      <c r="AS3" s="605"/>
      <c r="AT3" s="605"/>
      <c r="AU3" s="605"/>
      <c r="AV3" s="605"/>
      <c r="AW3" s="605"/>
      <c r="AX3" s="605"/>
      <c r="AY3" s="605"/>
      <c r="AZ3" s="605"/>
    </row>
    <row r="4" spans="2:52" ht="21" customHeight="1" thickBot="1">
      <c r="B4" s="963"/>
      <c r="C4" s="963"/>
      <c r="D4" s="963"/>
      <c r="E4" s="963"/>
      <c r="F4" s="963"/>
      <c r="G4" s="963"/>
      <c r="H4" s="963"/>
      <c r="I4" s="963"/>
      <c r="J4" s="963"/>
      <c r="K4" s="963"/>
      <c r="L4" s="963"/>
      <c r="M4" s="963"/>
      <c r="N4" s="963"/>
      <c r="O4" s="963"/>
      <c r="P4" s="963"/>
      <c r="Q4" s="963"/>
      <c r="R4" s="963"/>
      <c r="S4" s="963"/>
      <c r="T4" s="963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962" t="s">
        <v>498</v>
      </c>
      <c r="AN4" s="360"/>
      <c r="AO4" s="360"/>
      <c r="AP4" s="360"/>
      <c r="AQ4" s="360"/>
      <c r="AR4" s="360"/>
      <c r="AS4" s="360"/>
      <c r="AT4" s="360"/>
      <c r="AU4" s="360"/>
      <c r="AV4" s="360"/>
      <c r="AW4" s="360"/>
      <c r="AX4" s="360"/>
      <c r="AY4" s="360"/>
      <c r="AZ4" s="360"/>
    </row>
    <row r="5" spans="2:52" ht="24" customHeight="1" thickBot="1">
      <c r="B5" s="602" t="s">
        <v>84</v>
      </c>
      <c r="C5" s="603"/>
      <c r="D5" s="603"/>
      <c r="E5" s="604"/>
      <c r="F5" s="472" t="s">
        <v>38</v>
      </c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4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K5" s="228"/>
      <c r="AL5" s="228"/>
      <c r="AM5" s="360"/>
      <c r="AN5" s="360"/>
      <c r="AO5" s="360"/>
      <c r="AP5" s="360"/>
      <c r="AQ5" s="360"/>
      <c r="AR5" s="360"/>
      <c r="AS5" s="360"/>
      <c r="AT5" s="360"/>
      <c r="AU5" s="360"/>
      <c r="AV5" s="360"/>
      <c r="AW5" s="360"/>
      <c r="AX5" s="360"/>
      <c r="AY5" s="360"/>
      <c r="AZ5" s="360"/>
    </row>
    <row r="6" spans="2:63" s="19" customFormat="1" ht="21" customHeight="1">
      <c r="B6" s="964"/>
      <c r="C6" s="964"/>
      <c r="D6" s="964"/>
      <c r="E6" s="964"/>
      <c r="F6" s="964"/>
      <c r="G6" s="964"/>
      <c r="H6" s="964"/>
      <c r="I6" s="964"/>
      <c r="J6" s="964"/>
      <c r="K6" s="964"/>
      <c r="L6" s="964"/>
      <c r="M6" s="964"/>
      <c r="N6" s="964"/>
      <c r="O6" s="964"/>
      <c r="P6" s="964"/>
      <c r="Q6" s="964"/>
      <c r="R6" s="964"/>
      <c r="S6" s="964"/>
      <c r="T6" s="964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360"/>
      <c r="AN6" s="360"/>
      <c r="AO6" s="360"/>
      <c r="AP6" s="360"/>
      <c r="AQ6" s="360"/>
      <c r="AR6" s="360"/>
      <c r="AS6" s="360"/>
      <c r="AT6" s="360"/>
      <c r="AU6" s="360"/>
      <c r="AV6" s="360"/>
      <c r="AW6" s="360"/>
      <c r="AX6" s="360"/>
      <c r="AY6" s="360"/>
      <c r="AZ6" s="360"/>
      <c r="BA6"/>
      <c r="BB6"/>
      <c r="BC6"/>
      <c r="BD6"/>
      <c r="BE6"/>
      <c r="BF6"/>
      <c r="BG6"/>
      <c r="BH6"/>
      <c r="BI6"/>
      <c r="BJ6"/>
      <c r="BK6"/>
    </row>
    <row r="7" spans="1:60" ht="30" customHeight="1">
      <c r="A7" s="19"/>
      <c r="B7" s="961" t="str">
        <f>IF(BF27=0,BD21,F5&amp;" 精 度 管 理 表")</f>
        <v>3 級 水 準 測 量 精 度 管 理 表</v>
      </c>
      <c r="C7" s="961"/>
      <c r="D7" s="961"/>
      <c r="E7" s="961"/>
      <c r="F7" s="961"/>
      <c r="G7" s="961"/>
      <c r="H7" s="961"/>
      <c r="I7" s="961"/>
      <c r="J7" s="961"/>
      <c r="K7" s="961"/>
      <c r="L7" s="961"/>
      <c r="M7" s="961"/>
      <c r="N7" s="961"/>
      <c r="O7" s="961"/>
      <c r="P7" s="961"/>
      <c r="Q7" s="961"/>
      <c r="R7" s="961"/>
      <c r="S7" s="961"/>
      <c r="T7" s="961"/>
      <c r="U7" s="961"/>
      <c r="V7" s="961"/>
      <c r="W7" s="961"/>
      <c r="X7" s="961"/>
      <c r="Y7" s="961"/>
      <c r="Z7" s="961"/>
      <c r="AA7" s="961"/>
      <c r="AB7" s="961"/>
      <c r="AC7" s="961"/>
      <c r="AD7" s="961"/>
      <c r="AE7" s="961"/>
      <c r="AF7" s="961"/>
      <c r="AG7" s="961"/>
      <c r="AH7" s="961"/>
      <c r="AI7" s="961"/>
      <c r="AJ7" s="961"/>
      <c r="AK7" s="961"/>
      <c r="AL7" s="961"/>
      <c r="AM7" s="961"/>
      <c r="AN7" s="961"/>
      <c r="AO7" s="961"/>
      <c r="AP7" s="961"/>
      <c r="AQ7" s="961"/>
      <c r="AR7" s="961"/>
      <c r="AS7" s="961"/>
      <c r="AT7" s="961"/>
      <c r="AU7" s="961"/>
      <c r="AV7" s="961"/>
      <c r="AW7" s="961"/>
      <c r="AX7" s="961"/>
      <c r="AY7" s="961"/>
      <c r="AZ7" s="961"/>
      <c r="BB7" s="307"/>
      <c r="BD7"/>
      <c r="BE7"/>
      <c r="BF7" s="1"/>
      <c r="BG7"/>
      <c r="BH7"/>
    </row>
    <row r="8" spans="1:63" s="22" customFormat="1" ht="30" customHeight="1">
      <c r="A8" s="21"/>
      <c r="B8" s="874" t="s">
        <v>45</v>
      </c>
      <c r="C8" s="873"/>
      <c r="D8" s="873"/>
      <c r="E8" s="508" t="str">
        <f>IF($BK$12=1,"",IF('業務情報'!$C$3="","",IF('業務情報'!$C$3="","",'業務情報'!$C$3)))</f>
        <v>平成２６年度
○○測量業務</v>
      </c>
      <c r="F8" s="509"/>
      <c r="G8" s="509"/>
      <c r="H8" s="509"/>
      <c r="I8" s="509"/>
      <c r="J8" s="509"/>
      <c r="K8" s="509"/>
      <c r="L8" s="510"/>
      <c r="M8" s="873" t="s">
        <v>46</v>
      </c>
      <c r="N8" s="873"/>
      <c r="O8" s="873"/>
      <c r="P8" s="498" t="str">
        <f>IF($BJ$12=1,"",IF('業務情報'!$C$6="","",IF('業務情報'!$C$6="","",'業務情報'!$C$6)))</f>
        <v>○○市　○○地区</v>
      </c>
      <c r="Q8" s="499"/>
      <c r="R8" s="499"/>
      <c r="S8" s="499"/>
      <c r="T8" s="499"/>
      <c r="U8" s="499"/>
      <c r="V8" s="934"/>
      <c r="W8" s="873" t="s">
        <v>126</v>
      </c>
      <c r="X8" s="873"/>
      <c r="Y8" s="873"/>
      <c r="Z8" s="938" t="str">
        <f>IF($BJ$12=1,"",IF('業務情報'!$E$3="","",'業務情報'!$E$3))</f>
        <v>○○地方整備局
○○事務所</v>
      </c>
      <c r="AA8" s="939"/>
      <c r="AB8" s="939"/>
      <c r="AC8" s="939"/>
      <c r="AD8" s="939"/>
      <c r="AE8" s="940"/>
      <c r="AF8" s="874" t="s">
        <v>47</v>
      </c>
      <c r="AG8" s="873"/>
      <c r="AH8" s="913"/>
      <c r="AI8" s="499" t="str">
        <f>IF($BJ$12=1,"",IF('業務情報'!$E$4="","",IF('業務情報'!$E$4="","",'業務情報'!$E$4)))</f>
        <v>（有）サーベイテック</v>
      </c>
      <c r="AJ8" s="499"/>
      <c r="AK8" s="499"/>
      <c r="AL8" s="499"/>
      <c r="AM8" s="499"/>
      <c r="AN8" s="499"/>
      <c r="AO8" s="499"/>
      <c r="AP8" s="874" t="s">
        <v>48</v>
      </c>
      <c r="AQ8" s="873"/>
      <c r="AR8" s="873"/>
      <c r="AS8" s="913"/>
      <c r="AT8" s="498" t="str">
        <f>IF($BJ$12=1,"",IF('業務情報'!$G$4="","",'業務情報'!$G$4))</f>
        <v>曽木亜　説戸</v>
      </c>
      <c r="AU8" s="499"/>
      <c r="AV8" s="499"/>
      <c r="AW8" s="499"/>
      <c r="AX8" s="499"/>
      <c r="AY8" s="499"/>
      <c r="AZ8" s="39" t="s">
        <v>125</v>
      </c>
      <c r="BA8"/>
      <c r="BB8"/>
      <c r="BC8"/>
      <c r="BD8"/>
      <c r="BE8" s="1"/>
      <c r="BF8" s="1"/>
      <c r="BG8"/>
      <c r="BH8"/>
      <c r="BI8"/>
      <c r="BJ8"/>
      <c r="BK8"/>
    </row>
    <row r="9" spans="1:63" s="22" customFormat="1" ht="30" customHeight="1">
      <c r="A9" s="24"/>
      <c r="B9" s="874" t="s">
        <v>88</v>
      </c>
      <c r="C9" s="873"/>
      <c r="D9" s="873"/>
      <c r="E9" s="498" t="str">
        <f>IF($BK$12=1,"",IF('業務情報'!$C$4="","",'業務情報'!$C$4))</f>
        <v>道路整備計画</v>
      </c>
      <c r="F9" s="499"/>
      <c r="G9" s="499"/>
      <c r="H9" s="499"/>
      <c r="I9" s="499"/>
      <c r="J9" s="499"/>
      <c r="K9" s="499"/>
      <c r="L9" s="934"/>
      <c r="M9" s="873" t="s">
        <v>50</v>
      </c>
      <c r="N9" s="873"/>
      <c r="O9" s="873"/>
      <c r="P9" s="938" t="str">
        <f>IF($BJ$12=1,"",IF('業務情報'!$E$5="","",'業務情報'!$E$5))</f>
        <v>自 平成26年10月10日
至 平成27年3月15日</v>
      </c>
      <c r="Q9" s="939"/>
      <c r="R9" s="939"/>
      <c r="S9" s="939"/>
      <c r="T9" s="939"/>
      <c r="U9" s="939"/>
      <c r="V9" s="940"/>
      <c r="W9" s="873" t="s">
        <v>104</v>
      </c>
      <c r="X9" s="873"/>
      <c r="Y9" s="873"/>
      <c r="Z9" s="478" t="s">
        <v>651</v>
      </c>
      <c r="AA9" s="479"/>
      <c r="AB9" s="479"/>
      <c r="AC9" s="479"/>
      <c r="AD9" s="479"/>
      <c r="AE9" s="875"/>
      <c r="AF9" s="874" t="s">
        <v>51</v>
      </c>
      <c r="AG9" s="873"/>
      <c r="AH9" s="913"/>
      <c r="AI9" s="499" t="str">
        <f>IF($BJ$12=1,"",IF('業務情報'!$G$3="","",'業務情報'!$G$3))</f>
        <v>兎位瑠度　逓津宇</v>
      </c>
      <c r="AJ9" s="499"/>
      <c r="AK9" s="499"/>
      <c r="AL9" s="499"/>
      <c r="AM9" s="499"/>
      <c r="AN9" s="499"/>
      <c r="AO9" s="149" t="s">
        <v>125</v>
      </c>
      <c r="AP9" s="874" t="s">
        <v>52</v>
      </c>
      <c r="AQ9" s="873"/>
      <c r="AR9" s="873"/>
      <c r="AS9" s="913"/>
      <c r="AT9" s="663"/>
      <c r="AU9" s="663"/>
      <c r="AV9" s="663"/>
      <c r="AW9" s="663"/>
      <c r="AX9" s="663"/>
      <c r="AY9" s="663"/>
      <c r="AZ9" s="664"/>
      <c r="BA9"/>
      <c r="BB9"/>
      <c r="BC9"/>
      <c r="BD9"/>
      <c r="BE9" s="1"/>
      <c r="BF9" s="1"/>
      <c r="BG9"/>
      <c r="BH9"/>
      <c r="BI9"/>
      <c r="BJ9"/>
      <c r="BK9"/>
    </row>
    <row r="10" spans="1:60" ht="12" customHeight="1">
      <c r="A10" s="25"/>
      <c r="B10" s="455"/>
      <c r="C10" s="455"/>
      <c r="D10" s="455"/>
      <c r="E10" s="455"/>
      <c r="F10" s="455"/>
      <c r="G10" s="455"/>
      <c r="H10" s="455"/>
      <c r="I10" s="455"/>
      <c r="J10" s="455"/>
      <c r="K10" s="455"/>
      <c r="L10" s="455"/>
      <c r="M10" s="455"/>
      <c r="N10" s="455"/>
      <c r="O10" s="455"/>
      <c r="P10" s="455"/>
      <c r="Q10" s="455"/>
      <c r="R10" s="455"/>
      <c r="S10" s="455"/>
      <c r="T10" s="455"/>
      <c r="U10" s="455"/>
      <c r="V10" s="455"/>
      <c r="W10" s="455"/>
      <c r="X10" s="455"/>
      <c r="Y10" s="455"/>
      <c r="Z10" s="455"/>
      <c r="AA10" s="455"/>
      <c r="AB10" s="455"/>
      <c r="AC10" s="455"/>
      <c r="AD10" s="455"/>
      <c r="AE10" s="455"/>
      <c r="AF10" s="455"/>
      <c r="AG10" s="455"/>
      <c r="AH10" s="455"/>
      <c r="AI10" s="455"/>
      <c r="AJ10" s="455"/>
      <c r="AK10" s="455"/>
      <c r="AL10" s="455"/>
      <c r="AM10" s="455"/>
      <c r="AN10" s="455"/>
      <c r="AO10" s="455"/>
      <c r="AP10" s="455"/>
      <c r="AQ10" s="457"/>
      <c r="AR10" s="457"/>
      <c r="AS10" s="457"/>
      <c r="AT10" s="457"/>
      <c r="AU10" s="457"/>
      <c r="AV10" s="457"/>
      <c r="AW10" s="457"/>
      <c r="AX10" s="457"/>
      <c r="AY10" s="457"/>
      <c r="AZ10" s="457"/>
      <c r="BD10"/>
      <c r="BE10" s="1"/>
      <c r="BF10" s="1"/>
      <c r="BG10"/>
      <c r="BH10"/>
    </row>
    <row r="11" spans="1:63" s="23" customFormat="1" ht="32.25" customHeight="1">
      <c r="A11" s="25"/>
      <c r="B11" s="874" t="s">
        <v>134</v>
      </c>
      <c r="C11" s="873"/>
      <c r="D11" s="873"/>
      <c r="E11" s="913"/>
      <c r="F11" s="957" t="s">
        <v>140</v>
      </c>
      <c r="G11" s="958"/>
      <c r="H11" s="959"/>
      <c r="I11" s="369" t="s">
        <v>105</v>
      </c>
      <c r="J11" s="370"/>
      <c r="K11" s="371"/>
      <c r="L11" s="369" t="s">
        <v>135</v>
      </c>
      <c r="M11" s="370"/>
      <c r="N11" s="371"/>
      <c r="O11" s="369" t="s">
        <v>89</v>
      </c>
      <c r="P11" s="370"/>
      <c r="Q11" s="371"/>
      <c r="R11" s="957" t="s">
        <v>140</v>
      </c>
      <c r="S11" s="958"/>
      <c r="T11" s="959"/>
      <c r="U11" s="369" t="s">
        <v>136</v>
      </c>
      <c r="V11" s="370"/>
      <c r="W11" s="371"/>
      <c r="X11" s="751" t="s">
        <v>90</v>
      </c>
      <c r="Y11" s="941"/>
      <c r="Z11" s="942"/>
      <c r="AA11" s="369" t="s">
        <v>91</v>
      </c>
      <c r="AB11" s="370"/>
      <c r="AC11" s="371"/>
      <c r="AD11" s="369" t="s">
        <v>92</v>
      </c>
      <c r="AE11" s="370"/>
      <c r="AF11" s="371"/>
      <c r="AG11" s="369" t="s">
        <v>93</v>
      </c>
      <c r="AH11" s="370"/>
      <c r="AI11" s="371"/>
      <c r="AJ11" s="369" t="s">
        <v>94</v>
      </c>
      <c r="AK11" s="370"/>
      <c r="AL11" s="370"/>
      <c r="AM11" s="371"/>
      <c r="AN11" s="369" t="s">
        <v>95</v>
      </c>
      <c r="AO11" s="370"/>
      <c r="AP11" s="370"/>
      <c r="AQ11" s="931" t="s">
        <v>43</v>
      </c>
      <c r="AR11" s="932"/>
      <c r="AS11" s="932"/>
      <c r="AT11" s="932"/>
      <c r="AU11" s="933"/>
      <c r="AV11" s="369" t="s">
        <v>133</v>
      </c>
      <c r="AW11" s="370"/>
      <c r="AX11" s="370"/>
      <c r="AY11" s="370"/>
      <c r="AZ11" s="371"/>
      <c r="BA11"/>
      <c r="BB11"/>
      <c r="BC11"/>
      <c r="BG11"/>
      <c r="BH11"/>
      <c r="BI11"/>
      <c r="BJ11"/>
      <c r="BK11"/>
    </row>
    <row r="12" spans="1:63" s="23" customFormat="1" ht="15" customHeight="1">
      <c r="A12" s="25"/>
      <c r="B12" s="928"/>
      <c r="C12" s="929"/>
      <c r="D12" s="929"/>
      <c r="E12" s="930"/>
      <c r="F12" s="936" t="s">
        <v>308</v>
      </c>
      <c r="G12" s="936"/>
      <c r="H12" s="936"/>
      <c r="I12" s="935" t="s">
        <v>309</v>
      </c>
      <c r="J12" s="936"/>
      <c r="K12" s="937"/>
      <c r="L12" s="935" t="s">
        <v>309</v>
      </c>
      <c r="M12" s="936"/>
      <c r="N12" s="937"/>
      <c r="O12" s="928"/>
      <c r="P12" s="929"/>
      <c r="Q12" s="930"/>
      <c r="R12" s="935" t="s">
        <v>412</v>
      </c>
      <c r="S12" s="936"/>
      <c r="T12" s="937"/>
      <c r="U12" s="928"/>
      <c r="V12" s="929"/>
      <c r="W12" s="930"/>
      <c r="X12" s="936" t="s">
        <v>310</v>
      </c>
      <c r="Y12" s="936"/>
      <c r="Z12" s="936"/>
      <c r="AA12" s="928"/>
      <c r="AB12" s="929"/>
      <c r="AC12" s="929"/>
      <c r="AD12" s="928"/>
      <c r="AE12" s="929"/>
      <c r="AF12" s="929"/>
      <c r="AG12" s="928"/>
      <c r="AH12" s="929"/>
      <c r="AI12" s="929"/>
      <c r="AJ12" s="935" t="s">
        <v>310</v>
      </c>
      <c r="AK12" s="936"/>
      <c r="AL12" s="936"/>
      <c r="AM12" s="936"/>
      <c r="AN12" s="935" t="s">
        <v>310</v>
      </c>
      <c r="AO12" s="936"/>
      <c r="AP12" s="937"/>
      <c r="AQ12" s="929"/>
      <c r="AR12" s="929"/>
      <c r="AS12" s="929"/>
      <c r="AT12" s="929"/>
      <c r="AU12" s="929"/>
      <c r="AV12" s="928"/>
      <c r="AW12" s="929"/>
      <c r="AX12" s="929"/>
      <c r="AY12" s="929"/>
      <c r="AZ12" s="930"/>
      <c r="BA12"/>
      <c r="BB12"/>
      <c r="BC12"/>
      <c r="BG12"/>
      <c r="BH12"/>
      <c r="BI12"/>
      <c r="BJ12"/>
      <c r="BK12"/>
    </row>
    <row r="13" spans="1:60" ht="19.5" customHeight="1">
      <c r="A13" s="25"/>
      <c r="B13" s="943">
        <v>1</v>
      </c>
      <c r="C13" s="349"/>
      <c r="D13" s="349"/>
      <c r="E13" s="943"/>
      <c r="F13" s="379">
        <v>0.819</v>
      </c>
      <c r="G13" s="332"/>
      <c r="H13" s="330"/>
      <c r="I13" s="944">
        <v>1</v>
      </c>
      <c r="J13" s="944"/>
      <c r="K13" s="944"/>
      <c r="L13" s="925" t="str">
        <f>IF(AND(B13="",F13=""),"",IF(BE13&lt;&gt;0,INDEX($BD$13:$BD$16,BE13,1),IF($BF$27=1,TEXT(ROUNDDOWN(IF(LEN(AQ13)&gt;30,INDEX($BE$22:$BE$26,$BF$27,1),INDEX($BF$22:$BF$26,$BF$27,1))*F13^0.5,IF($BF$27=1,1,0)),"0.0"),TEXT(ROUNDDOWN(IF(LEN(AQ13)&gt;30,INDEX($BE$22:$BE$26,$BF$27,1),INDEX($BF$22:$BF$26,$BF$27,1))*F13^0.5,IF($BF$27=1,1,0)),"0"))))</f>
        <v>9</v>
      </c>
      <c r="M13" s="926"/>
      <c r="N13" s="927"/>
      <c r="O13" s="547" t="str">
        <f>IF($BK$12=1,"",IF('業務情報'!G5="","",'業務情報'!G5))</f>
        <v>加亜瑠　番辺留比</v>
      </c>
      <c r="P13" s="548"/>
      <c r="Q13" s="549"/>
      <c r="R13" s="379">
        <v>0.819</v>
      </c>
      <c r="S13" s="332"/>
      <c r="T13" s="330"/>
      <c r="U13" s="372">
        <v>4</v>
      </c>
      <c r="V13" s="373"/>
      <c r="W13" s="349"/>
      <c r="X13" s="379">
        <v>1.75</v>
      </c>
      <c r="Y13" s="332"/>
      <c r="Z13" s="330"/>
      <c r="AA13" s="372">
        <v>2</v>
      </c>
      <c r="AB13" s="373"/>
      <c r="AC13" s="349"/>
      <c r="AD13" s="372">
        <v>1</v>
      </c>
      <c r="AE13" s="373"/>
      <c r="AF13" s="349"/>
      <c r="AG13" s="372">
        <v>0</v>
      </c>
      <c r="AH13" s="373"/>
      <c r="AI13" s="349"/>
      <c r="AJ13" s="372">
        <v>3</v>
      </c>
      <c r="AK13" s="373"/>
      <c r="AL13" s="373"/>
      <c r="AM13" s="349"/>
      <c r="AN13" s="372">
        <v>-2</v>
      </c>
      <c r="AO13" s="373"/>
      <c r="AP13" s="349"/>
      <c r="AQ13" s="853" t="s">
        <v>144</v>
      </c>
      <c r="AR13" s="853"/>
      <c r="AS13" s="853"/>
      <c r="AT13" s="853"/>
      <c r="AU13" s="854"/>
      <c r="AV13" s="886"/>
      <c r="AW13" s="886"/>
      <c r="AX13" s="886"/>
      <c r="AY13" s="886"/>
      <c r="AZ13" s="887"/>
      <c r="BD13" s="70" t="s">
        <v>149</v>
      </c>
      <c r="BE13" s="67">
        <f>IF(AND(F13&lt;&gt;"",B13=""),1,IF($BF$27=0,2,IF(AND(B13&lt;&gt;"",F13=""),3,IF(IF(LEN(AQ13)&lt;30,AQ13&lt;&gt;$BD$29,IF(LEN(AQ13)&gt;30,AQ13&lt;&gt;$BD$28,AQ13&lt;&gt;$BD$30)),4,IF(AND(B13="",F13=""),6,0)))))</f>
        <v>0</v>
      </c>
      <c r="BG13"/>
      <c r="BH13"/>
    </row>
    <row r="14" spans="1:63" ht="19.5" customHeight="1">
      <c r="A14" s="25"/>
      <c r="B14" s="372">
        <v>2</v>
      </c>
      <c r="C14" s="373"/>
      <c r="D14" s="373"/>
      <c r="E14" s="349"/>
      <c r="F14" s="379">
        <v>1.158</v>
      </c>
      <c r="G14" s="332"/>
      <c r="H14" s="330"/>
      <c r="I14" s="922">
        <v>6</v>
      </c>
      <c r="J14" s="923"/>
      <c r="K14" s="924"/>
      <c r="L14" s="925" t="str">
        <f>IF(AND(B14="",F14=""),"",IF(BE14&lt;&gt;0,INDEX($BD$13:$BD$16,BE14,1),IF($BF$27=1,TEXT(ROUNDDOWN(IF(LEN(AQ14)&gt;30,INDEX($BE$22:$BE$26,$BF$27,1),INDEX($BF$22:$BF$26,$BF$27,1))*F14^0.5,IF($BF$27=1,1,0)),"0.0"),TEXT(ROUNDDOWN(IF(LEN(AQ14)&gt;30,INDEX($BE$22:$BE$26,$BF$27,1),INDEX($BF$22:$BF$26,$BF$27,1))*F14^0.5,IF($BF$27=1,1,0)),"0"))))</f>
        <v>10</v>
      </c>
      <c r="M14" s="926"/>
      <c r="N14" s="927"/>
      <c r="O14" s="372"/>
      <c r="P14" s="373"/>
      <c r="Q14" s="349"/>
      <c r="R14" s="379">
        <v>1.158</v>
      </c>
      <c r="S14" s="332"/>
      <c r="T14" s="330"/>
      <c r="U14" s="372">
        <v>4</v>
      </c>
      <c r="V14" s="373"/>
      <c r="W14" s="349"/>
      <c r="X14" s="379">
        <v>1.75</v>
      </c>
      <c r="Y14" s="332"/>
      <c r="Z14" s="330"/>
      <c r="AA14" s="372">
        <v>3</v>
      </c>
      <c r="AB14" s="373"/>
      <c r="AC14" s="349"/>
      <c r="AD14" s="372">
        <v>0</v>
      </c>
      <c r="AE14" s="373"/>
      <c r="AF14" s="349"/>
      <c r="AG14" s="372">
        <v>1</v>
      </c>
      <c r="AH14" s="373"/>
      <c r="AI14" s="349"/>
      <c r="AJ14" s="372">
        <v>6</v>
      </c>
      <c r="AK14" s="373"/>
      <c r="AL14" s="373"/>
      <c r="AM14" s="349"/>
      <c r="AN14" s="372">
        <v>0</v>
      </c>
      <c r="AO14" s="373"/>
      <c r="AP14" s="349"/>
      <c r="AQ14" s="853" t="s">
        <v>144</v>
      </c>
      <c r="AR14" s="853"/>
      <c r="AS14" s="853"/>
      <c r="AT14" s="853"/>
      <c r="AU14" s="854"/>
      <c r="AV14" s="886"/>
      <c r="AW14" s="886"/>
      <c r="AX14" s="886"/>
      <c r="AY14" s="886"/>
      <c r="AZ14" s="887"/>
      <c r="BD14" s="71" t="s">
        <v>280</v>
      </c>
      <c r="BE14" s="67">
        <f aca="true" t="shared" si="0" ref="BE14:BE20">IF(AND(F14&lt;&gt;"",B14=""),1,IF($BF$27=0,2,IF(AND(B14&lt;&gt;"",F14=""),3,IF(IF(LEN(AQ14)&lt;30,AQ14&lt;&gt;$BD$29,IF(LEN(AQ14)&gt;30,AQ14&lt;&gt;$BD$28,AQ14&lt;&gt;$BD$30)),4,0))))</f>
        <v>0</v>
      </c>
      <c r="BG14"/>
      <c r="BH14"/>
      <c r="BK14" s="20"/>
    </row>
    <row r="15" spans="1:63" ht="19.5" customHeight="1">
      <c r="A15" s="25"/>
      <c r="B15" s="372"/>
      <c r="C15" s="373"/>
      <c r="D15" s="373"/>
      <c r="E15" s="349"/>
      <c r="F15" s="379"/>
      <c r="G15" s="332"/>
      <c r="H15" s="330"/>
      <c r="I15" s="922"/>
      <c r="J15" s="923"/>
      <c r="K15" s="924"/>
      <c r="L15" s="925">
        <f aca="true" t="shared" si="1" ref="L15:L20">IF(AND(B15="",F15=""),"",IF(BE15&lt;&gt;0,INDEX($BD$13:$BD$16,BE15,1),IF($BF$27=1,TEXT(ROUNDDOWN(IF(LEN(AQ15)&gt;30,INDEX($BE$22:$BE$26,$BF$27,1),INDEX($BF$22:$BF$26,$BF$27,1))*F15^0.5,IF($BF$27=1,1,0)),"0.0"),TEXT(ROUNDDOWN(IF(LEN(AQ15)&gt;30,INDEX($BE$22:$BE$26,$BF$27,1),INDEX($BF$22:$BF$26,$BF$27,1))*F15^0.5,IF($BF$27=1,1,0)),"0"))))</f>
      </c>
      <c r="M15" s="926"/>
      <c r="N15" s="927"/>
      <c r="O15" s="372"/>
      <c r="P15" s="373"/>
      <c r="Q15" s="349"/>
      <c r="R15" s="379"/>
      <c r="S15" s="332"/>
      <c r="T15" s="330"/>
      <c r="U15" s="372"/>
      <c r="V15" s="373"/>
      <c r="W15" s="349"/>
      <c r="X15" s="379"/>
      <c r="Y15" s="332"/>
      <c r="Z15" s="330"/>
      <c r="AA15" s="372"/>
      <c r="AB15" s="373"/>
      <c r="AC15" s="349"/>
      <c r="AD15" s="372"/>
      <c r="AE15" s="373"/>
      <c r="AF15" s="349"/>
      <c r="AG15" s="372"/>
      <c r="AH15" s="373"/>
      <c r="AI15" s="349"/>
      <c r="AJ15" s="372"/>
      <c r="AK15" s="373"/>
      <c r="AL15" s="373"/>
      <c r="AM15" s="349"/>
      <c r="AN15" s="372"/>
      <c r="AO15" s="373"/>
      <c r="AP15" s="349"/>
      <c r="AQ15" s="853"/>
      <c r="AR15" s="853"/>
      <c r="AS15" s="853"/>
      <c r="AT15" s="853"/>
      <c r="AU15" s="854"/>
      <c r="AV15" s="886"/>
      <c r="AW15" s="886"/>
      <c r="AX15" s="886"/>
      <c r="AY15" s="886"/>
      <c r="AZ15" s="887"/>
      <c r="BD15" s="71" t="s">
        <v>281</v>
      </c>
      <c r="BE15" s="67">
        <f t="shared" si="0"/>
        <v>4</v>
      </c>
      <c r="BG15"/>
      <c r="BH15"/>
      <c r="BK15" s="20"/>
    </row>
    <row r="16" spans="1:63" ht="19.5" customHeight="1">
      <c r="A16" s="25"/>
      <c r="B16" s="372"/>
      <c r="C16" s="373"/>
      <c r="D16" s="373"/>
      <c r="E16" s="349"/>
      <c r="F16" s="379"/>
      <c r="G16" s="332"/>
      <c r="H16" s="330"/>
      <c r="I16" s="922"/>
      <c r="J16" s="923"/>
      <c r="K16" s="924"/>
      <c r="L16" s="925">
        <f t="shared" si="1"/>
      </c>
      <c r="M16" s="926"/>
      <c r="N16" s="927"/>
      <c r="O16" s="372"/>
      <c r="P16" s="373"/>
      <c r="Q16" s="349"/>
      <c r="R16" s="379"/>
      <c r="S16" s="332"/>
      <c r="T16" s="330"/>
      <c r="U16" s="372"/>
      <c r="V16" s="373"/>
      <c r="W16" s="349"/>
      <c r="X16" s="379"/>
      <c r="Y16" s="332"/>
      <c r="Z16" s="330"/>
      <c r="AA16" s="372"/>
      <c r="AB16" s="373"/>
      <c r="AC16" s="349"/>
      <c r="AD16" s="372"/>
      <c r="AE16" s="373"/>
      <c r="AF16" s="349"/>
      <c r="AG16" s="372"/>
      <c r="AH16" s="373"/>
      <c r="AI16" s="349"/>
      <c r="AJ16" s="372"/>
      <c r="AK16" s="373"/>
      <c r="AL16" s="373"/>
      <c r="AM16" s="349"/>
      <c r="AN16" s="372"/>
      <c r="AO16" s="373"/>
      <c r="AP16" s="349"/>
      <c r="AQ16" s="853"/>
      <c r="AR16" s="853"/>
      <c r="AS16" s="853"/>
      <c r="AT16" s="853"/>
      <c r="AU16" s="854"/>
      <c r="AV16" s="886"/>
      <c r="AW16" s="886"/>
      <c r="AX16" s="886"/>
      <c r="AY16" s="886"/>
      <c r="AZ16" s="887"/>
      <c r="BD16" s="132" t="s">
        <v>282</v>
      </c>
      <c r="BE16" s="67">
        <f t="shared" si="0"/>
        <v>4</v>
      </c>
      <c r="BG16"/>
      <c r="BH16"/>
      <c r="BK16" s="20"/>
    </row>
    <row r="17" spans="1:63" ht="19.5" customHeight="1">
      <c r="A17" s="25"/>
      <c r="B17" s="372"/>
      <c r="C17" s="373"/>
      <c r="D17" s="373"/>
      <c r="E17" s="349"/>
      <c r="F17" s="379"/>
      <c r="G17" s="332"/>
      <c r="H17" s="330"/>
      <c r="I17" s="922"/>
      <c r="J17" s="923"/>
      <c r="K17" s="924"/>
      <c r="L17" s="925">
        <f t="shared" si="1"/>
      </c>
      <c r="M17" s="926"/>
      <c r="N17" s="927"/>
      <c r="O17" s="372"/>
      <c r="P17" s="373"/>
      <c r="Q17" s="349"/>
      <c r="R17" s="379"/>
      <c r="S17" s="332"/>
      <c r="T17" s="330"/>
      <c r="U17" s="372"/>
      <c r="V17" s="373"/>
      <c r="W17" s="349"/>
      <c r="X17" s="379"/>
      <c r="Y17" s="332"/>
      <c r="Z17" s="330"/>
      <c r="AA17" s="372"/>
      <c r="AB17" s="373"/>
      <c r="AC17" s="349"/>
      <c r="AD17" s="372"/>
      <c r="AE17" s="373"/>
      <c r="AF17" s="349"/>
      <c r="AG17" s="372"/>
      <c r="AH17" s="373"/>
      <c r="AI17" s="349"/>
      <c r="AJ17" s="372"/>
      <c r="AK17" s="373"/>
      <c r="AL17" s="373"/>
      <c r="AM17" s="349"/>
      <c r="AN17" s="372"/>
      <c r="AO17" s="373"/>
      <c r="AP17" s="349"/>
      <c r="AQ17" s="948"/>
      <c r="AR17" s="853"/>
      <c r="AS17" s="853"/>
      <c r="AT17" s="853"/>
      <c r="AU17" s="854"/>
      <c r="AV17" s="976"/>
      <c r="AW17" s="886"/>
      <c r="AX17" s="886"/>
      <c r="AY17" s="886"/>
      <c r="AZ17" s="887"/>
      <c r="BD17" t="str">
        <f>IF(LEN(AQ13)&lt;30,$BD$29,IF(LEN(AQ13)&gt;30,$BD$28,$BD$30))</f>
        <v>環閉合                    10mm√S    </v>
      </c>
      <c r="BE17" s="67">
        <f t="shared" si="0"/>
        <v>4</v>
      </c>
      <c r="BF17"/>
      <c r="BG17"/>
      <c r="BH17"/>
      <c r="BK17" s="20"/>
    </row>
    <row r="18" spans="1:63" ht="19.5" customHeight="1">
      <c r="A18" s="24"/>
      <c r="B18" s="372"/>
      <c r="C18" s="373"/>
      <c r="D18" s="373"/>
      <c r="E18" s="349"/>
      <c r="F18" s="379"/>
      <c r="G18" s="332"/>
      <c r="H18" s="330"/>
      <c r="I18" s="922"/>
      <c r="J18" s="923"/>
      <c r="K18" s="924"/>
      <c r="L18" s="925">
        <f t="shared" si="1"/>
      </c>
      <c r="M18" s="926"/>
      <c r="N18" s="927"/>
      <c r="O18" s="372"/>
      <c r="P18" s="373"/>
      <c r="Q18" s="349"/>
      <c r="R18" s="379"/>
      <c r="S18" s="332"/>
      <c r="T18" s="330"/>
      <c r="U18" s="372"/>
      <c r="V18" s="373"/>
      <c r="W18" s="349"/>
      <c r="X18" s="379"/>
      <c r="Y18" s="332"/>
      <c r="Z18" s="330"/>
      <c r="AA18" s="372"/>
      <c r="AB18" s="373"/>
      <c r="AC18" s="349"/>
      <c r="AD18" s="372"/>
      <c r="AE18" s="373"/>
      <c r="AF18" s="349"/>
      <c r="AG18" s="372"/>
      <c r="AH18" s="373"/>
      <c r="AI18" s="349"/>
      <c r="AJ18" s="372"/>
      <c r="AK18" s="373"/>
      <c r="AL18" s="373"/>
      <c r="AM18" s="349"/>
      <c r="AN18" s="372"/>
      <c r="AO18" s="373"/>
      <c r="AP18" s="349"/>
      <c r="AQ18" s="948"/>
      <c r="AR18" s="853"/>
      <c r="AS18" s="853"/>
      <c r="AT18" s="853"/>
      <c r="AU18" s="854"/>
      <c r="AV18" s="976"/>
      <c r="AW18" s="886"/>
      <c r="AX18" s="886"/>
      <c r="AY18" s="886"/>
      <c r="AZ18" s="887"/>
      <c r="BD18"/>
      <c r="BE18" s="67">
        <f t="shared" si="0"/>
        <v>4</v>
      </c>
      <c r="BF18"/>
      <c r="BG18" s="1"/>
      <c r="BH18"/>
      <c r="BK18" s="20"/>
    </row>
    <row r="19" spans="1:63" ht="19.5" customHeight="1">
      <c r="A19" s="25"/>
      <c r="B19" s="372"/>
      <c r="C19" s="373"/>
      <c r="D19" s="373"/>
      <c r="E19" s="349"/>
      <c r="F19" s="379"/>
      <c r="G19" s="332"/>
      <c r="H19" s="330"/>
      <c r="I19" s="922"/>
      <c r="J19" s="923"/>
      <c r="K19" s="924"/>
      <c r="L19" s="925">
        <f t="shared" si="1"/>
      </c>
      <c r="M19" s="926"/>
      <c r="N19" s="927"/>
      <c r="O19" s="372"/>
      <c r="P19" s="373"/>
      <c r="Q19" s="349"/>
      <c r="R19" s="379"/>
      <c r="S19" s="332"/>
      <c r="T19" s="330"/>
      <c r="U19" s="372"/>
      <c r="V19" s="373"/>
      <c r="W19" s="349"/>
      <c r="X19" s="379"/>
      <c r="Y19" s="332"/>
      <c r="Z19" s="330"/>
      <c r="AA19" s="372"/>
      <c r="AB19" s="373"/>
      <c r="AC19" s="349"/>
      <c r="AD19" s="372"/>
      <c r="AE19" s="373"/>
      <c r="AF19" s="349"/>
      <c r="AG19" s="372"/>
      <c r="AH19" s="373"/>
      <c r="AI19" s="349"/>
      <c r="AJ19" s="372"/>
      <c r="AK19" s="373"/>
      <c r="AL19" s="373"/>
      <c r="AM19" s="349"/>
      <c r="AN19" s="372"/>
      <c r="AO19" s="373"/>
      <c r="AP19" s="349"/>
      <c r="AQ19" s="853"/>
      <c r="AR19" s="853"/>
      <c r="AS19" s="853"/>
      <c r="AT19" s="853"/>
      <c r="AU19" s="854"/>
      <c r="AV19" s="886"/>
      <c r="AW19" s="886"/>
      <c r="AX19" s="886"/>
      <c r="AY19" s="886"/>
      <c r="AZ19" s="887"/>
      <c r="BD19"/>
      <c r="BE19" s="67">
        <f t="shared" si="0"/>
        <v>4</v>
      </c>
      <c r="BF19"/>
      <c r="BG19"/>
      <c r="BH19"/>
      <c r="BK19" s="20"/>
    </row>
    <row r="20" spans="1:60" ht="19.5" customHeight="1">
      <c r="A20" s="27"/>
      <c r="B20" s="372"/>
      <c r="C20" s="373"/>
      <c r="D20" s="373"/>
      <c r="E20" s="349"/>
      <c r="F20" s="379"/>
      <c r="G20" s="332"/>
      <c r="H20" s="330"/>
      <c r="I20" s="922"/>
      <c r="J20" s="923"/>
      <c r="K20" s="924"/>
      <c r="L20" s="925">
        <f t="shared" si="1"/>
      </c>
      <c r="M20" s="926"/>
      <c r="N20" s="927"/>
      <c r="O20" s="331"/>
      <c r="P20" s="328"/>
      <c r="Q20" s="329"/>
      <c r="R20" s="379"/>
      <c r="S20" s="332"/>
      <c r="T20" s="330"/>
      <c r="U20" s="372"/>
      <c r="V20" s="373"/>
      <c r="W20" s="349"/>
      <c r="X20" s="379"/>
      <c r="Y20" s="332"/>
      <c r="Z20" s="330"/>
      <c r="AA20" s="372"/>
      <c r="AB20" s="373"/>
      <c r="AC20" s="349"/>
      <c r="AD20" s="372"/>
      <c r="AE20" s="373"/>
      <c r="AF20" s="349"/>
      <c r="AG20" s="372"/>
      <c r="AH20" s="373"/>
      <c r="AI20" s="349"/>
      <c r="AJ20" s="372"/>
      <c r="AK20" s="373"/>
      <c r="AL20" s="373"/>
      <c r="AM20" s="349"/>
      <c r="AN20" s="372"/>
      <c r="AO20" s="373"/>
      <c r="AP20" s="349"/>
      <c r="AQ20" s="884"/>
      <c r="AR20" s="884"/>
      <c r="AS20" s="884"/>
      <c r="AT20" s="884"/>
      <c r="AU20" s="885"/>
      <c r="AV20" s="890"/>
      <c r="AW20" s="890"/>
      <c r="AX20" s="890"/>
      <c r="AY20" s="890"/>
      <c r="AZ20" s="891"/>
      <c r="BD20"/>
      <c r="BE20" s="67">
        <f t="shared" si="0"/>
        <v>4</v>
      </c>
      <c r="BF20"/>
      <c r="BH20"/>
    </row>
    <row r="21" spans="1:59" ht="21" customHeight="1">
      <c r="A21" s="25"/>
      <c r="B21" s="325" t="s">
        <v>307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7"/>
      <c r="O21" s="467" t="s">
        <v>648</v>
      </c>
      <c r="P21" s="468"/>
      <c r="Q21" s="468"/>
      <c r="R21" s="974"/>
      <c r="S21" s="974"/>
      <c r="T21" s="974"/>
      <c r="U21" s="974"/>
      <c r="V21" s="974"/>
      <c r="W21" s="974"/>
      <c r="X21" s="974"/>
      <c r="Y21" s="974"/>
      <c r="Z21" s="975"/>
      <c r="AA21" s="325" t="s">
        <v>124</v>
      </c>
      <c r="AB21" s="326"/>
      <c r="AC21" s="326"/>
      <c r="AD21" s="326"/>
      <c r="AE21" s="326"/>
      <c r="AF21" s="326"/>
      <c r="AG21" s="326"/>
      <c r="AH21" s="326"/>
      <c r="AI21" s="326"/>
      <c r="AJ21" s="467" t="s">
        <v>647</v>
      </c>
      <c r="AK21" s="468"/>
      <c r="AL21" s="468"/>
      <c r="AM21" s="468"/>
      <c r="AN21" s="974"/>
      <c r="AO21" s="974"/>
      <c r="AP21" s="974"/>
      <c r="AQ21" s="974"/>
      <c r="AR21" s="974"/>
      <c r="AS21" s="974"/>
      <c r="AT21" s="974"/>
      <c r="AU21" s="974"/>
      <c r="AV21" s="974"/>
      <c r="AW21" s="974"/>
      <c r="AX21" s="974"/>
      <c r="AY21" s="974"/>
      <c r="AZ21" s="975"/>
      <c r="BD21" s="73" t="s">
        <v>122</v>
      </c>
      <c r="BE21" s="36" t="s">
        <v>85</v>
      </c>
      <c r="BF21" s="98" t="s">
        <v>87</v>
      </c>
      <c r="BG21"/>
    </row>
    <row r="22" spans="1:60" ht="12.75" customHeight="1">
      <c r="A22" s="25"/>
      <c r="B22" s="880"/>
      <c r="C22" s="880"/>
      <c r="D22" s="880"/>
      <c r="E22" s="880"/>
      <c r="F22" s="880"/>
      <c r="G22" s="880"/>
      <c r="H22" s="880"/>
      <c r="I22" s="880"/>
      <c r="J22" s="880"/>
      <c r="K22" s="880"/>
      <c r="L22" s="880"/>
      <c r="M22" s="880"/>
      <c r="N22" s="880"/>
      <c r="O22" s="880"/>
      <c r="P22" s="880"/>
      <c r="Q22" s="880"/>
      <c r="R22" s="880"/>
      <c r="S22" s="880"/>
      <c r="T22" s="880"/>
      <c r="U22" s="880"/>
      <c r="V22" s="880"/>
      <c r="W22" s="880"/>
      <c r="X22" s="880"/>
      <c r="Y22" s="880"/>
      <c r="Z22" s="880"/>
      <c r="AA22" s="880"/>
      <c r="AB22" s="880"/>
      <c r="AC22" s="880"/>
      <c r="AD22" s="880"/>
      <c r="AE22" s="880"/>
      <c r="AF22" s="880"/>
      <c r="AG22" s="880"/>
      <c r="AH22" s="880"/>
      <c r="AI22" s="880"/>
      <c r="AJ22" s="880"/>
      <c r="AK22" s="880"/>
      <c r="AL22" s="880"/>
      <c r="AM22" s="880"/>
      <c r="AN22" s="880"/>
      <c r="AO22" s="880"/>
      <c r="AP22" s="880"/>
      <c r="AQ22" s="880"/>
      <c r="AR22" s="880"/>
      <c r="AS22" s="880"/>
      <c r="AT22" s="880"/>
      <c r="AU22" s="880"/>
      <c r="AV22" s="880"/>
      <c r="AW22" s="880"/>
      <c r="AX22" s="880"/>
      <c r="AY22" s="880"/>
      <c r="AZ22" s="880"/>
      <c r="BD22" s="74" t="s">
        <v>36</v>
      </c>
      <c r="BE22" s="1">
        <v>2</v>
      </c>
      <c r="BF22" s="99">
        <v>15</v>
      </c>
      <c r="BG22"/>
      <c r="BH22" s="68"/>
    </row>
    <row r="23" spans="1:60" ht="24" customHeight="1">
      <c r="A23" s="25"/>
      <c r="B23" s="369" t="s">
        <v>96</v>
      </c>
      <c r="C23" s="370"/>
      <c r="D23" s="370"/>
      <c r="E23" s="370"/>
      <c r="F23" s="370"/>
      <c r="G23" s="370"/>
      <c r="H23" s="370"/>
      <c r="I23" s="370"/>
      <c r="J23" s="370"/>
      <c r="K23" s="371"/>
      <c r="L23" s="427" t="s">
        <v>97</v>
      </c>
      <c r="M23" s="428"/>
      <c r="N23" s="428"/>
      <c r="O23" s="428"/>
      <c r="P23" s="428"/>
      <c r="Q23" s="428"/>
      <c r="R23" s="428"/>
      <c r="S23" s="428"/>
      <c r="T23" s="428"/>
      <c r="U23" s="428"/>
      <c r="V23" s="428"/>
      <c r="W23" s="428"/>
      <c r="X23" s="428"/>
      <c r="Y23" s="428"/>
      <c r="Z23" s="428"/>
      <c r="AA23" s="428"/>
      <c r="AB23" s="428"/>
      <c r="AC23" s="428"/>
      <c r="AD23" s="428"/>
      <c r="AE23" s="428"/>
      <c r="AF23" s="428"/>
      <c r="AG23" s="428"/>
      <c r="AH23" s="428"/>
      <c r="AI23" s="428"/>
      <c r="AJ23" s="428"/>
      <c r="AK23" s="533"/>
      <c r="AL23" s="369" t="s">
        <v>137</v>
      </c>
      <c r="AM23" s="370"/>
      <c r="AN23" s="370"/>
      <c r="AO23" s="370"/>
      <c r="AP23" s="370"/>
      <c r="AQ23" s="370"/>
      <c r="AR23" s="370"/>
      <c r="AS23" s="371"/>
      <c r="AT23" s="489">
        <v>0</v>
      </c>
      <c r="AU23" s="490"/>
      <c r="AV23" s="490"/>
      <c r="AW23" s="490"/>
      <c r="AX23" s="490"/>
      <c r="AY23" s="490"/>
      <c r="AZ23" s="491"/>
      <c r="BD23" s="74" t="s">
        <v>37</v>
      </c>
      <c r="BE23" s="1">
        <v>5</v>
      </c>
      <c r="BF23" s="99">
        <v>15</v>
      </c>
      <c r="BG23"/>
      <c r="BH23" s="68"/>
    </row>
    <row r="24" spans="1:60" ht="18" customHeight="1">
      <c r="A24" s="25"/>
      <c r="B24" s="921" t="s">
        <v>495</v>
      </c>
      <c r="C24" s="918"/>
      <c r="D24" s="918" t="str">
        <f>IF('業務情報'!G9="","",'業務情報'!G9)</f>
        <v>WILD NA3003A No.206265</v>
      </c>
      <c r="E24" s="918"/>
      <c r="F24" s="918"/>
      <c r="G24" s="918"/>
      <c r="H24" s="918"/>
      <c r="I24" s="918"/>
      <c r="J24" s="918"/>
      <c r="K24" s="919"/>
      <c r="L24" s="968"/>
      <c r="M24" s="969"/>
      <c r="N24" s="969"/>
      <c r="O24" s="969"/>
      <c r="P24" s="969"/>
      <c r="Q24" s="969"/>
      <c r="R24" s="969"/>
      <c r="S24" s="969"/>
      <c r="T24" s="969"/>
      <c r="U24" s="969"/>
      <c r="V24" s="969"/>
      <c r="W24" s="969"/>
      <c r="X24" s="969"/>
      <c r="Y24" s="969"/>
      <c r="Z24" s="969"/>
      <c r="AA24" s="969"/>
      <c r="AB24" s="969"/>
      <c r="AC24" s="969"/>
      <c r="AD24" s="969"/>
      <c r="AE24" s="969"/>
      <c r="AF24" s="969"/>
      <c r="AG24" s="969"/>
      <c r="AH24" s="969"/>
      <c r="AI24" s="969"/>
      <c r="AJ24" s="969"/>
      <c r="AK24" s="970"/>
      <c r="AL24" s="369" t="s">
        <v>138</v>
      </c>
      <c r="AM24" s="370"/>
      <c r="AN24" s="370"/>
      <c r="AO24" s="370"/>
      <c r="AP24" s="370"/>
      <c r="AQ24" s="370"/>
      <c r="AR24" s="370"/>
      <c r="AS24" s="370"/>
      <c r="AT24" s="370"/>
      <c r="AU24" s="370"/>
      <c r="AV24" s="370"/>
      <c r="AW24" s="370"/>
      <c r="AX24" s="370"/>
      <c r="AY24" s="370"/>
      <c r="AZ24" s="371"/>
      <c r="BD24" s="74" t="s">
        <v>38</v>
      </c>
      <c r="BE24" s="1">
        <v>10</v>
      </c>
      <c r="BF24" s="99">
        <v>15</v>
      </c>
      <c r="BG24"/>
      <c r="BH24" s="68"/>
    </row>
    <row r="25" spans="1:60" ht="18" customHeight="1">
      <c r="A25" s="25"/>
      <c r="B25" s="916"/>
      <c r="C25" s="917"/>
      <c r="D25" s="917" t="str">
        <f>IF('業務情報'!G10="","",'業務情報'!G10)</f>
        <v>SOKKIA PL1 NO.31415927</v>
      </c>
      <c r="E25" s="917"/>
      <c r="F25" s="917"/>
      <c r="G25" s="917"/>
      <c r="H25" s="917"/>
      <c r="I25" s="917"/>
      <c r="J25" s="917"/>
      <c r="K25" s="920"/>
      <c r="L25" s="861"/>
      <c r="M25" s="862"/>
      <c r="N25" s="862"/>
      <c r="O25" s="862"/>
      <c r="P25" s="862"/>
      <c r="Q25" s="862"/>
      <c r="R25" s="862"/>
      <c r="S25" s="862"/>
      <c r="T25" s="862"/>
      <c r="U25" s="862"/>
      <c r="V25" s="862"/>
      <c r="W25" s="862"/>
      <c r="X25" s="862"/>
      <c r="Y25" s="862"/>
      <c r="Z25" s="862"/>
      <c r="AA25" s="862"/>
      <c r="AB25" s="862"/>
      <c r="AC25" s="862"/>
      <c r="AD25" s="862"/>
      <c r="AE25" s="862"/>
      <c r="AF25" s="862"/>
      <c r="AG25" s="862"/>
      <c r="AH25" s="862"/>
      <c r="AI25" s="862"/>
      <c r="AJ25" s="862"/>
      <c r="AK25" s="863"/>
      <c r="AL25" s="369" t="s">
        <v>139</v>
      </c>
      <c r="AM25" s="370"/>
      <c r="AN25" s="371"/>
      <c r="AO25" s="369" t="s">
        <v>140</v>
      </c>
      <c r="AP25" s="370"/>
      <c r="AQ25" s="371"/>
      <c r="AR25" s="369" t="s">
        <v>98</v>
      </c>
      <c r="AS25" s="370"/>
      <c r="AT25" s="371"/>
      <c r="AU25" s="370" t="s">
        <v>99</v>
      </c>
      <c r="AV25" s="370"/>
      <c r="AW25" s="370"/>
      <c r="AX25" s="369" t="s">
        <v>141</v>
      </c>
      <c r="AY25" s="370"/>
      <c r="AZ25" s="371"/>
      <c r="BD25" s="74" t="s">
        <v>39</v>
      </c>
      <c r="BE25" s="1">
        <v>20</v>
      </c>
      <c r="BF25" s="99">
        <v>25</v>
      </c>
      <c r="BG25"/>
      <c r="BH25" s="68"/>
    </row>
    <row r="26" spans="1:60" ht="18" customHeight="1">
      <c r="A26" s="25"/>
      <c r="B26" s="916" t="s">
        <v>413</v>
      </c>
      <c r="C26" s="917"/>
      <c r="D26" s="917" t="str">
        <f>IF('業務情報'!G11="","",'業務情報'!G11)</f>
        <v>NEDO GTL4C NO.206265</v>
      </c>
      <c r="E26" s="917"/>
      <c r="F26" s="917"/>
      <c r="G26" s="917"/>
      <c r="H26" s="917"/>
      <c r="I26" s="917"/>
      <c r="J26" s="917"/>
      <c r="K26" s="920"/>
      <c r="L26" s="861"/>
      <c r="M26" s="862"/>
      <c r="N26" s="862"/>
      <c r="O26" s="862"/>
      <c r="P26" s="862"/>
      <c r="Q26" s="862"/>
      <c r="R26" s="862"/>
      <c r="S26" s="862"/>
      <c r="T26" s="862"/>
      <c r="U26" s="862"/>
      <c r="V26" s="862"/>
      <c r="W26" s="862"/>
      <c r="X26" s="862"/>
      <c r="Y26" s="862"/>
      <c r="Z26" s="862"/>
      <c r="AA26" s="862"/>
      <c r="AB26" s="862"/>
      <c r="AC26" s="862"/>
      <c r="AD26" s="862"/>
      <c r="AE26" s="862"/>
      <c r="AF26" s="862"/>
      <c r="AG26" s="862"/>
      <c r="AH26" s="862"/>
      <c r="AI26" s="862"/>
      <c r="AJ26" s="862"/>
      <c r="AK26" s="863"/>
      <c r="AL26" s="971"/>
      <c r="AM26" s="972"/>
      <c r="AN26" s="973"/>
      <c r="AO26" s="949" t="s">
        <v>308</v>
      </c>
      <c r="AP26" s="950"/>
      <c r="AQ26" s="951"/>
      <c r="AR26" s="965" t="s">
        <v>296</v>
      </c>
      <c r="AS26" s="966"/>
      <c r="AT26" s="967"/>
      <c r="AU26" s="966" t="s">
        <v>296</v>
      </c>
      <c r="AV26" s="966"/>
      <c r="AW26" s="966"/>
      <c r="AX26" s="965" t="s">
        <v>309</v>
      </c>
      <c r="AY26" s="966"/>
      <c r="AZ26" s="967"/>
      <c r="BD26" s="75" t="s">
        <v>40</v>
      </c>
      <c r="BE26" s="61">
        <v>5</v>
      </c>
      <c r="BF26" s="100">
        <v>15</v>
      </c>
      <c r="BG26"/>
      <c r="BH26" s="68"/>
    </row>
    <row r="27" spans="1:63" ht="18" customHeight="1">
      <c r="A27" s="25"/>
      <c r="B27" s="978"/>
      <c r="C27" s="979"/>
      <c r="D27" s="917" t="str">
        <f>IF('業務情報'!G12="","",'業務情報'!G12)</f>
        <v>SOKKIA BGS40A NO.206265</v>
      </c>
      <c r="E27" s="917"/>
      <c r="F27" s="917"/>
      <c r="G27" s="917"/>
      <c r="H27" s="917"/>
      <c r="I27" s="917"/>
      <c r="J27" s="917"/>
      <c r="K27" s="920"/>
      <c r="L27" s="861"/>
      <c r="M27" s="862"/>
      <c r="N27" s="862"/>
      <c r="O27" s="862"/>
      <c r="P27" s="862"/>
      <c r="Q27" s="862"/>
      <c r="R27" s="862"/>
      <c r="S27" s="862"/>
      <c r="T27" s="862"/>
      <c r="U27" s="862"/>
      <c r="V27" s="862"/>
      <c r="W27" s="862"/>
      <c r="X27" s="862"/>
      <c r="Y27" s="862"/>
      <c r="Z27" s="862"/>
      <c r="AA27" s="862"/>
      <c r="AB27" s="862"/>
      <c r="AC27" s="862"/>
      <c r="AD27" s="862"/>
      <c r="AE27" s="862"/>
      <c r="AF27" s="862"/>
      <c r="AG27" s="862"/>
      <c r="AH27" s="862"/>
      <c r="AI27" s="862"/>
      <c r="AJ27" s="862"/>
      <c r="AK27" s="863"/>
      <c r="AL27" s="945" t="s">
        <v>649</v>
      </c>
      <c r="AM27" s="946"/>
      <c r="AN27" s="947"/>
      <c r="AO27" s="945"/>
      <c r="AP27" s="946"/>
      <c r="AQ27" s="947"/>
      <c r="AR27" s="952"/>
      <c r="AS27" s="527"/>
      <c r="AT27" s="528"/>
      <c r="AU27" s="527"/>
      <c r="AV27" s="527"/>
      <c r="AW27" s="527"/>
      <c r="AX27" s="529">
        <f aca="true" t="shared" si="2" ref="AX27:AX32">IF(COUNTA(AR27:AW27)&lt;&gt;2,"",(AR27-AU27)*1000)</f>
      </c>
      <c r="AY27" s="530"/>
      <c r="AZ27" s="531"/>
      <c r="BD27" s="70"/>
      <c r="BE27" s="1"/>
      <c r="BF27" s="72">
        <f>IF(F5=BD21,0,IF(F5=BD22,1,IF(F5=BD23,2,IF(F5=BD24,3,IF(F5=BD25,4,5)))))</f>
        <v>3</v>
      </c>
      <c r="BG27" s="68"/>
      <c r="BH27"/>
      <c r="BK27" s="20"/>
    </row>
    <row r="28" spans="1:63" ht="18" customHeight="1">
      <c r="A28" s="25"/>
      <c r="B28" s="369" t="s">
        <v>100</v>
      </c>
      <c r="C28" s="370"/>
      <c r="D28" s="370"/>
      <c r="E28" s="370"/>
      <c r="F28" s="370"/>
      <c r="G28" s="370"/>
      <c r="H28" s="370"/>
      <c r="I28" s="370"/>
      <c r="J28" s="370"/>
      <c r="K28" s="371"/>
      <c r="L28" s="861"/>
      <c r="M28" s="862"/>
      <c r="N28" s="862"/>
      <c r="O28" s="862"/>
      <c r="P28" s="862"/>
      <c r="Q28" s="862"/>
      <c r="R28" s="862"/>
      <c r="S28" s="862"/>
      <c r="T28" s="862"/>
      <c r="U28" s="862"/>
      <c r="V28" s="862"/>
      <c r="W28" s="862"/>
      <c r="X28" s="862"/>
      <c r="Y28" s="862"/>
      <c r="Z28" s="862"/>
      <c r="AA28" s="862"/>
      <c r="AB28" s="862"/>
      <c r="AC28" s="862"/>
      <c r="AD28" s="862"/>
      <c r="AE28" s="862"/>
      <c r="AF28" s="862"/>
      <c r="AG28" s="862"/>
      <c r="AH28" s="862"/>
      <c r="AI28" s="862"/>
      <c r="AJ28" s="862"/>
      <c r="AK28" s="863"/>
      <c r="AL28" s="945" t="s">
        <v>650</v>
      </c>
      <c r="AM28" s="946"/>
      <c r="AN28" s="947"/>
      <c r="AO28" s="945" t="s">
        <v>651</v>
      </c>
      <c r="AP28" s="946"/>
      <c r="AQ28" s="947"/>
      <c r="AR28" s="952">
        <v>26.356</v>
      </c>
      <c r="AS28" s="527"/>
      <c r="AT28" s="528"/>
      <c r="AU28" s="527">
        <v>26.347</v>
      </c>
      <c r="AV28" s="527"/>
      <c r="AW28" s="527"/>
      <c r="AX28" s="529">
        <f t="shared" si="2"/>
        <v>9.000000000000341</v>
      </c>
      <c r="AY28" s="530"/>
      <c r="AZ28" s="531"/>
      <c r="BD28" s="56" t="str">
        <f>IF($BF$27=0,"",BE$21&amp;"                    "&amp;INDEX($BE$22:$BE$26,$BF$27,1)&amp;"mm√S    ")</f>
        <v>環閉合                    10mm√S    </v>
      </c>
      <c r="BE28" s="1"/>
      <c r="BF28" s="67">
        <f>LEN(BD28)</f>
        <v>33</v>
      </c>
      <c r="BH28"/>
      <c r="BK28" s="20"/>
    </row>
    <row r="29" spans="1:63" ht="18" customHeight="1">
      <c r="A29" s="25"/>
      <c r="B29" s="981" t="s">
        <v>176</v>
      </c>
      <c r="C29" s="977"/>
      <c r="D29" s="977"/>
      <c r="E29" s="977" t="s">
        <v>177</v>
      </c>
      <c r="F29" s="977"/>
      <c r="G29" s="977"/>
      <c r="H29" s="977" t="s">
        <v>178</v>
      </c>
      <c r="I29" s="977"/>
      <c r="J29" s="977"/>
      <c r="K29" s="980"/>
      <c r="L29" s="861"/>
      <c r="M29" s="862"/>
      <c r="N29" s="862"/>
      <c r="O29" s="862"/>
      <c r="P29" s="862"/>
      <c r="Q29" s="862"/>
      <c r="R29" s="862"/>
      <c r="S29" s="862"/>
      <c r="T29" s="862"/>
      <c r="U29" s="862"/>
      <c r="V29" s="862"/>
      <c r="W29" s="862"/>
      <c r="X29" s="862"/>
      <c r="Y29" s="862"/>
      <c r="Z29" s="862"/>
      <c r="AA29" s="862"/>
      <c r="AB29" s="862"/>
      <c r="AC29" s="862"/>
      <c r="AD29" s="862"/>
      <c r="AE29" s="862"/>
      <c r="AF29" s="862"/>
      <c r="AG29" s="862"/>
      <c r="AH29" s="862"/>
      <c r="AI29" s="862"/>
      <c r="AJ29" s="862"/>
      <c r="AK29" s="863"/>
      <c r="AL29" s="945"/>
      <c r="AM29" s="946"/>
      <c r="AN29" s="947"/>
      <c r="AO29" s="945" t="s">
        <v>652</v>
      </c>
      <c r="AP29" s="946"/>
      <c r="AQ29" s="946"/>
      <c r="AR29" s="960"/>
      <c r="AS29" s="960"/>
      <c r="AT29" s="960"/>
      <c r="AU29" s="960"/>
      <c r="AV29" s="960"/>
      <c r="AW29" s="930"/>
      <c r="AX29" s="529">
        <f t="shared" si="2"/>
      </c>
      <c r="AY29" s="530"/>
      <c r="AZ29" s="531"/>
      <c r="BD29" s="57" t="str">
        <f>IF($BF$27=0,"",$BF$21&amp;"              "&amp;INDEX($BF$22:$BF$26,$BF$27,1)&amp;"mm√S    ")</f>
        <v>既知点結合              15mm√S    </v>
      </c>
      <c r="BE29" s="1"/>
      <c r="BF29" s="68">
        <f>LEN(BD29)</f>
        <v>29</v>
      </c>
      <c r="BH29"/>
      <c r="BK29" s="20"/>
    </row>
    <row r="30" spans="1:59" ht="18" customHeight="1">
      <c r="A30" s="28"/>
      <c r="B30" s="733" t="s">
        <v>414</v>
      </c>
      <c r="C30" s="734"/>
      <c r="D30" s="734"/>
      <c r="E30" s="734">
        <v>4</v>
      </c>
      <c r="F30" s="734"/>
      <c r="G30" s="734"/>
      <c r="H30" s="734" t="s">
        <v>645</v>
      </c>
      <c r="I30" s="734"/>
      <c r="J30" s="734"/>
      <c r="K30" s="735"/>
      <c r="L30" s="861"/>
      <c r="M30" s="862"/>
      <c r="N30" s="862"/>
      <c r="O30" s="862"/>
      <c r="P30" s="862"/>
      <c r="Q30" s="862"/>
      <c r="R30" s="862"/>
      <c r="S30" s="862"/>
      <c r="T30" s="862"/>
      <c r="U30" s="862"/>
      <c r="V30" s="862"/>
      <c r="W30" s="862"/>
      <c r="X30" s="862"/>
      <c r="Y30" s="862"/>
      <c r="Z30" s="862"/>
      <c r="AA30" s="862"/>
      <c r="AB30" s="862"/>
      <c r="AC30" s="862"/>
      <c r="AD30" s="862"/>
      <c r="AE30" s="862"/>
      <c r="AF30" s="862"/>
      <c r="AG30" s="862"/>
      <c r="AH30" s="862"/>
      <c r="AI30" s="862"/>
      <c r="AJ30" s="862"/>
      <c r="AK30" s="863"/>
      <c r="AL30" s="945"/>
      <c r="AM30" s="946"/>
      <c r="AN30" s="947"/>
      <c r="AO30" s="945"/>
      <c r="AP30" s="946"/>
      <c r="AQ30" s="947"/>
      <c r="AR30" s="952"/>
      <c r="AS30" s="527"/>
      <c r="AT30" s="528"/>
      <c r="AU30" s="952"/>
      <c r="AV30" s="527"/>
      <c r="AW30" s="528"/>
      <c r="AX30" s="529">
        <f t="shared" si="2"/>
      </c>
      <c r="AY30" s="530"/>
      <c r="AZ30" s="531"/>
      <c r="BD30" s="68"/>
      <c r="BE30"/>
      <c r="BF30" s="68"/>
      <c r="BG30" s="68"/>
    </row>
    <row r="31" spans="2:59" ht="18" customHeight="1">
      <c r="B31" s="733" t="s">
        <v>646</v>
      </c>
      <c r="C31" s="734"/>
      <c r="D31" s="734"/>
      <c r="E31" s="734">
        <v>2</v>
      </c>
      <c r="F31" s="734"/>
      <c r="G31" s="734"/>
      <c r="H31" s="734" t="s">
        <v>645</v>
      </c>
      <c r="I31" s="734"/>
      <c r="J31" s="734"/>
      <c r="K31" s="735"/>
      <c r="L31" s="861"/>
      <c r="M31" s="862"/>
      <c r="N31" s="862"/>
      <c r="O31" s="862"/>
      <c r="P31" s="862"/>
      <c r="Q31" s="862"/>
      <c r="R31" s="862"/>
      <c r="S31" s="862"/>
      <c r="T31" s="862"/>
      <c r="U31" s="862"/>
      <c r="V31" s="862"/>
      <c r="W31" s="862"/>
      <c r="X31" s="862"/>
      <c r="Y31" s="862"/>
      <c r="Z31" s="862"/>
      <c r="AA31" s="862"/>
      <c r="AB31" s="862"/>
      <c r="AC31" s="862"/>
      <c r="AD31" s="862"/>
      <c r="AE31" s="862"/>
      <c r="AF31" s="862"/>
      <c r="AG31" s="862"/>
      <c r="AH31" s="862"/>
      <c r="AI31" s="862"/>
      <c r="AJ31" s="862"/>
      <c r="AK31" s="863"/>
      <c r="AL31" s="945"/>
      <c r="AM31" s="946"/>
      <c r="AN31" s="947"/>
      <c r="AO31" s="945"/>
      <c r="AP31" s="946"/>
      <c r="AQ31" s="947"/>
      <c r="AR31" s="952"/>
      <c r="AS31" s="527"/>
      <c r="AT31" s="528"/>
      <c r="AU31" s="952"/>
      <c r="AV31" s="527"/>
      <c r="AW31" s="528"/>
      <c r="AX31" s="529">
        <f t="shared" si="2"/>
      </c>
      <c r="AY31" s="530"/>
      <c r="AZ31" s="531"/>
      <c r="BE31"/>
      <c r="BF31"/>
      <c r="BG31" s="68"/>
    </row>
    <row r="32" spans="2:59" ht="18" customHeight="1">
      <c r="B32" s="746"/>
      <c r="C32" s="599"/>
      <c r="D32" s="599"/>
      <c r="E32" s="599"/>
      <c r="F32" s="599"/>
      <c r="G32" s="599"/>
      <c r="H32" s="599"/>
      <c r="I32" s="599"/>
      <c r="J32" s="599"/>
      <c r="K32" s="747"/>
      <c r="L32" s="864"/>
      <c r="M32" s="865"/>
      <c r="N32" s="865"/>
      <c r="O32" s="865"/>
      <c r="P32" s="865"/>
      <c r="Q32" s="865"/>
      <c r="R32" s="865"/>
      <c r="S32" s="865"/>
      <c r="T32" s="865"/>
      <c r="U32" s="865"/>
      <c r="V32" s="865"/>
      <c r="W32" s="865"/>
      <c r="X32" s="865"/>
      <c r="Y32" s="865"/>
      <c r="Z32" s="865"/>
      <c r="AA32" s="865"/>
      <c r="AB32" s="865"/>
      <c r="AC32" s="865"/>
      <c r="AD32" s="865"/>
      <c r="AE32" s="865"/>
      <c r="AF32" s="865"/>
      <c r="AG32" s="865"/>
      <c r="AH32" s="865"/>
      <c r="AI32" s="865"/>
      <c r="AJ32" s="865"/>
      <c r="AK32" s="866"/>
      <c r="AL32" s="954"/>
      <c r="AM32" s="955"/>
      <c r="AN32" s="956"/>
      <c r="AO32" s="954"/>
      <c r="AP32" s="955"/>
      <c r="AQ32" s="956"/>
      <c r="AR32" s="953"/>
      <c r="AS32" s="545"/>
      <c r="AT32" s="546"/>
      <c r="AU32" s="545"/>
      <c r="AV32" s="545"/>
      <c r="AW32" s="545"/>
      <c r="AX32" s="565">
        <f t="shared" si="2"/>
      </c>
      <c r="AY32" s="566"/>
      <c r="AZ32" s="567"/>
      <c r="BE32"/>
      <c r="BF32"/>
      <c r="BG32" s="68"/>
    </row>
    <row r="33" spans="33:59" ht="12.75">
      <c r="AG33" s="20"/>
      <c r="AH33" s="20"/>
      <c r="AI33" s="20"/>
      <c r="AJ33" s="29"/>
      <c r="AK33" s="29"/>
      <c r="AL33" s="29"/>
      <c r="AM33" s="29"/>
      <c r="AN33" s="26"/>
      <c r="AO33" s="26"/>
      <c r="AP33" s="26"/>
      <c r="AQ33" s="26"/>
      <c r="AR33" s="26"/>
      <c r="AS33" s="26"/>
      <c r="AT33" s="26"/>
      <c r="AU33" s="26"/>
      <c r="AV33" s="26"/>
      <c r="BF33"/>
      <c r="BG33" s="68"/>
    </row>
    <row r="34" ht="12.75">
      <c r="BE34" s="68"/>
    </row>
    <row r="35" spans="57:58" ht="12.75">
      <c r="BE35" s="68"/>
      <c r="BF35" s="68"/>
    </row>
    <row r="36" spans="57:58" ht="12.75">
      <c r="BE36" s="68"/>
      <c r="BF36" s="68"/>
    </row>
    <row r="37" spans="2:58" ht="15.75">
      <c r="B37" s="296" t="s">
        <v>0</v>
      </c>
      <c r="BE37" s="68"/>
      <c r="BF37" s="68"/>
    </row>
    <row r="38" spans="2:58" ht="15.75">
      <c r="B38" s="296" t="s">
        <v>17</v>
      </c>
      <c r="BE38" s="68"/>
      <c r="BF38" s="68"/>
    </row>
    <row r="39" spans="2:58" ht="15.75">
      <c r="B39" s="300" t="s">
        <v>11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299"/>
      <c r="AW39" s="299"/>
      <c r="AX39" s="299"/>
      <c r="AY39" s="299"/>
      <c r="AZ39" s="299"/>
      <c r="BE39" s="68"/>
      <c r="BF39" s="68"/>
    </row>
    <row r="40" ht="12.75">
      <c r="BF40" s="68"/>
    </row>
  </sheetData>
  <sheetProtection formatCells="0"/>
  <mergeCells count="251">
    <mergeCell ref="B30:D30"/>
    <mergeCell ref="AX30:AZ30"/>
    <mergeCell ref="B27:C27"/>
    <mergeCell ref="H29:K29"/>
    <mergeCell ref="D27:K27"/>
    <mergeCell ref="B29:D29"/>
    <mergeCell ref="AL25:AN25"/>
    <mergeCell ref="AX25:AZ25"/>
    <mergeCell ref="AX26:AZ26"/>
    <mergeCell ref="AR28:AT28"/>
    <mergeCell ref="AR25:AT25"/>
    <mergeCell ref="AX28:AZ28"/>
    <mergeCell ref="AX27:AZ27"/>
    <mergeCell ref="H32:K32"/>
    <mergeCell ref="B21:N21"/>
    <mergeCell ref="AR30:AT30"/>
    <mergeCell ref="B32:D32"/>
    <mergeCell ref="E29:G29"/>
    <mergeCell ref="E30:G30"/>
    <mergeCell ref="E31:G31"/>
    <mergeCell ref="E32:G32"/>
    <mergeCell ref="AL24:AZ24"/>
    <mergeCell ref="AT23:AZ23"/>
    <mergeCell ref="AV18:AZ18"/>
    <mergeCell ref="AN17:AP17"/>
    <mergeCell ref="AJ17:AM17"/>
    <mergeCell ref="AA20:AC20"/>
    <mergeCell ref="AV19:AZ19"/>
    <mergeCell ref="AQ20:AU20"/>
    <mergeCell ref="AA18:AC18"/>
    <mergeCell ref="AD17:AF17"/>
    <mergeCell ref="AG20:AI20"/>
    <mergeCell ref="AN20:AP20"/>
    <mergeCell ref="AJ16:AM16"/>
    <mergeCell ref="AV16:AZ16"/>
    <mergeCell ref="AQ16:AU16"/>
    <mergeCell ref="AV17:AZ17"/>
    <mergeCell ref="AQ17:AU17"/>
    <mergeCell ref="B22:AZ22"/>
    <mergeCell ref="AQ14:AU14"/>
    <mergeCell ref="B28:K28"/>
    <mergeCell ref="AL23:AS23"/>
    <mergeCell ref="AJ20:AM20"/>
    <mergeCell ref="AJ21:AZ21"/>
    <mergeCell ref="AV20:AZ20"/>
    <mergeCell ref="AU26:AW26"/>
    <mergeCell ref="L20:N20"/>
    <mergeCell ref="AN16:AP16"/>
    <mergeCell ref="I19:K19"/>
    <mergeCell ref="AG19:AI19"/>
    <mergeCell ref="AO30:AQ30"/>
    <mergeCell ref="B23:K23"/>
    <mergeCell ref="L23:AK23"/>
    <mergeCell ref="H30:K30"/>
    <mergeCell ref="L19:N19"/>
    <mergeCell ref="F19:H19"/>
    <mergeCell ref="AD19:AF19"/>
    <mergeCell ref="AD20:AF20"/>
    <mergeCell ref="AD15:AF15"/>
    <mergeCell ref="AA21:AI21"/>
    <mergeCell ref="U20:W20"/>
    <mergeCell ref="X19:Z19"/>
    <mergeCell ref="O21:Z21"/>
    <mergeCell ref="R19:T19"/>
    <mergeCell ref="O19:Q19"/>
    <mergeCell ref="AA19:AC19"/>
    <mergeCell ref="AD18:AF18"/>
    <mergeCell ref="R17:T17"/>
    <mergeCell ref="H31:K31"/>
    <mergeCell ref="AU25:AW25"/>
    <mergeCell ref="AU30:AW30"/>
    <mergeCell ref="AU27:AW27"/>
    <mergeCell ref="AU28:AW28"/>
    <mergeCell ref="AL27:AN27"/>
    <mergeCell ref="AR26:AT26"/>
    <mergeCell ref="L24:AK32"/>
    <mergeCell ref="AL26:AN26"/>
    <mergeCell ref="AL32:AN32"/>
    <mergeCell ref="B31:D31"/>
    <mergeCell ref="AR31:AT31"/>
    <mergeCell ref="AG15:AI15"/>
    <mergeCell ref="AQ12:AU12"/>
    <mergeCell ref="AG12:AI12"/>
    <mergeCell ref="AD12:AF12"/>
    <mergeCell ref="AN12:AP12"/>
    <mergeCell ref="AJ12:AM12"/>
    <mergeCell ref="AJ14:AM14"/>
    <mergeCell ref="AN14:AP14"/>
    <mergeCell ref="AG14:AI14"/>
    <mergeCell ref="F12:H12"/>
    <mergeCell ref="B12:E12"/>
    <mergeCell ref="AJ11:AM11"/>
    <mergeCell ref="O12:Q12"/>
    <mergeCell ref="B11:E11"/>
    <mergeCell ref="R11:T11"/>
    <mergeCell ref="O11:Q11"/>
    <mergeCell ref="L11:N11"/>
    <mergeCell ref="I11:K11"/>
    <mergeCell ref="B1:AZ1"/>
    <mergeCell ref="B3:AZ3"/>
    <mergeCell ref="B5:E5"/>
    <mergeCell ref="B7:AZ7"/>
    <mergeCell ref="B2:E2"/>
    <mergeCell ref="F2:AZ2"/>
    <mergeCell ref="AM4:AZ6"/>
    <mergeCell ref="B4:T4"/>
    <mergeCell ref="B6:T6"/>
    <mergeCell ref="F5:T5"/>
    <mergeCell ref="F11:H11"/>
    <mergeCell ref="AL30:AN30"/>
    <mergeCell ref="AO27:AQ27"/>
    <mergeCell ref="AO29:AW29"/>
    <mergeCell ref="AR27:AT27"/>
    <mergeCell ref="R20:T20"/>
    <mergeCell ref="L18:N18"/>
    <mergeCell ref="O18:Q18"/>
    <mergeCell ref="O20:Q20"/>
    <mergeCell ref="U19:W19"/>
    <mergeCell ref="AO31:AQ31"/>
    <mergeCell ref="AX29:AZ29"/>
    <mergeCell ref="AX32:AZ32"/>
    <mergeCell ref="AR32:AT32"/>
    <mergeCell ref="AU32:AW32"/>
    <mergeCell ref="AX31:AZ31"/>
    <mergeCell ref="AO32:AQ32"/>
    <mergeCell ref="AL31:AN31"/>
    <mergeCell ref="AL29:AN29"/>
    <mergeCell ref="AQ19:AU19"/>
    <mergeCell ref="AQ18:AU18"/>
    <mergeCell ref="AO26:AQ26"/>
    <mergeCell ref="AL28:AN28"/>
    <mergeCell ref="AO28:AQ28"/>
    <mergeCell ref="AO25:AQ25"/>
    <mergeCell ref="AN18:AP18"/>
    <mergeCell ref="AU31:AW31"/>
    <mergeCell ref="B18:E18"/>
    <mergeCell ref="R16:T16"/>
    <mergeCell ref="F16:H16"/>
    <mergeCell ref="AA17:AC17"/>
    <mergeCell ref="U17:W17"/>
    <mergeCell ref="X17:Z17"/>
    <mergeCell ref="U18:W18"/>
    <mergeCell ref="R18:T18"/>
    <mergeCell ref="I17:K17"/>
    <mergeCell ref="I18:K18"/>
    <mergeCell ref="L16:N16"/>
    <mergeCell ref="X16:Z16"/>
    <mergeCell ref="O16:Q16"/>
    <mergeCell ref="X15:Z15"/>
    <mergeCell ref="U15:W15"/>
    <mergeCell ref="U16:W16"/>
    <mergeCell ref="R15:T15"/>
    <mergeCell ref="AD16:AF16"/>
    <mergeCell ref="I13:K13"/>
    <mergeCell ref="O14:Q14"/>
    <mergeCell ref="I14:K14"/>
    <mergeCell ref="I15:K15"/>
    <mergeCell ref="O15:Q15"/>
    <mergeCell ref="AA16:AC16"/>
    <mergeCell ref="I16:K16"/>
    <mergeCell ref="U14:W14"/>
    <mergeCell ref="AD14:AF14"/>
    <mergeCell ref="F13:H13"/>
    <mergeCell ref="O13:Q13"/>
    <mergeCell ref="L15:N15"/>
    <mergeCell ref="F14:H14"/>
    <mergeCell ref="F15:H15"/>
    <mergeCell ref="L14:N14"/>
    <mergeCell ref="AA14:AC14"/>
    <mergeCell ref="AA15:AC15"/>
    <mergeCell ref="U13:W13"/>
    <mergeCell ref="L13:N13"/>
    <mergeCell ref="R14:T14"/>
    <mergeCell ref="X14:Z14"/>
    <mergeCell ref="B13:E13"/>
    <mergeCell ref="B15:E15"/>
    <mergeCell ref="B16:E16"/>
    <mergeCell ref="B14:E14"/>
    <mergeCell ref="W8:Y8"/>
    <mergeCell ref="W9:Y9"/>
    <mergeCell ref="AF8:AH8"/>
    <mergeCell ref="AF9:AH9"/>
    <mergeCell ref="Z9:AE9"/>
    <mergeCell ref="AG11:AI11"/>
    <mergeCell ref="AD11:AF11"/>
    <mergeCell ref="AA11:AC11"/>
    <mergeCell ref="X11:Z11"/>
    <mergeCell ref="AG16:AI16"/>
    <mergeCell ref="P8:V8"/>
    <mergeCell ref="P9:V9"/>
    <mergeCell ref="X13:Z13"/>
    <mergeCell ref="U11:W11"/>
    <mergeCell ref="R13:T13"/>
    <mergeCell ref="U12:W12"/>
    <mergeCell ref="R12:T12"/>
    <mergeCell ref="AI9:AN9"/>
    <mergeCell ref="Z8:AE8"/>
    <mergeCell ref="AV13:AZ13"/>
    <mergeCell ref="AN13:AP13"/>
    <mergeCell ref="AJ13:AM13"/>
    <mergeCell ref="AV15:AZ15"/>
    <mergeCell ref="AJ15:AM15"/>
    <mergeCell ref="AN15:AP15"/>
    <mergeCell ref="AQ15:AU15"/>
    <mergeCell ref="AQ13:AU13"/>
    <mergeCell ref="AG17:AI17"/>
    <mergeCell ref="AN19:AP19"/>
    <mergeCell ref="AG18:AI18"/>
    <mergeCell ref="AJ18:AM18"/>
    <mergeCell ref="AJ19:AM19"/>
    <mergeCell ref="L12:N12"/>
    <mergeCell ref="I12:K12"/>
    <mergeCell ref="X12:Z12"/>
    <mergeCell ref="AG13:AI13"/>
    <mergeCell ref="AD13:AF13"/>
    <mergeCell ref="AA13:AC13"/>
    <mergeCell ref="AA12:AC12"/>
    <mergeCell ref="AP9:AS9"/>
    <mergeCell ref="AI8:AO8"/>
    <mergeCell ref="B10:AZ10"/>
    <mergeCell ref="B8:D8"/>
    <mergeCell ref="B9:D9"/>
    <mergeCell ref="M8:O8"/>
    <mergeCell ref="M9:O9"/>
    <mergeCell ref="E8:L8"/>
    <mergeCell ref="E9:L9"/>
    <mergeCell ref="AT8:AY8"/>
    <mergeCell ref="AV12:AZ12"/>
    <mergeCell ref="AV11:AZ11"/>
    <mergeCell ref="AQ11:AU11"/>
    <mergeCell ref="AN11:AP11"/>
    <mergeCell ref="B17:E17"/>
    <mergeCell ref="B20:E20"/>
    <mergeCell ref="X20:Z20"/>
    <mergeCell ref="F20:H20"/>
    <mergeCell ref="B19:E19"/>
    <mergeCell ref="X18:Z18"/>
    <mergeCell ref="F17:H17"/>
    <mergeCell ref="F18:H18"/>
    <mergeCell ref="L17:N17"/>
    <mergeCell ref="O17:Q17"/>
    <mergeCell ref="AT9:AZ9"/>
    <mergeCell ref="AP8:AS8"/>
    <mergeCell ref="AV14:AZ14"/>
    <mergeCell ref="B26:C26"/>
    <mergeCell ref="D24:K24"/>
    <mergeCell ref="D25:K25"/>
    <mergeCell ref="D26:K26"/>
    <mergeCell ref="B24:C24"/>
    <mergeCell ref="B25:C25"/>
    <mergeCell ref="I20:K20"/>
  </mergeCells>
  <conditionalFormatting sqref="AQ13:AU20">
    <cfRule type="cellIs" priority="1" dxfId="10" operator="notEqual" stopIfTrue="1">
      <formula>IF(COUNTA(B13:K13)&gt;0,IF(LEN(AQ13)&lt;30,$BD$29,IF(LEN(AQ13)&gt;30,$BD$28,$BD$30)))</formula>
    </cfRule>
  </conditionalFormatting>
  <conditionalFormatting sqref="F5:T5">
    <cfRule type="cellIs" priority="2" dxfId="9" operator="equal" stopIfTrue="1">
      <formula>$BD$21</formula>
    </cfRule>
  </conditionalFormatting>
  <conditionalFormatting sqref="I13:K20">
    <cfRule type="expression" priority="3" dxfId="4" stopIfTrue="1">
      <formula>ABS(I13)&gt;L13*1</formula>
    </cfRule>
  </conditionalFormatting>
  <conditionalFormatting sqref="L13:L20">
    <cfRule type="expression" priority="4" dxfId="4" stopIfTrue="1">
      <formula>IF(LEN(AQ13)&lt;30,$BD$29,$BD$28)&lt;&gt;AQ13</formula>
    </cfRule>
  </conditionalFormatting>
  <dataValidations count="2">
    <dataValidation type="list" allowBlank="1" showInputMessage="1" showErrorMessage="1" sqref="AQ13:AQ20">
      <formula1>$BD$27:$BD$29</formula1>
    </dataValidation>
    <dataValidation type="list" allowBlank="1" showInputMessage="1" showErrorMessage="1" sqref="F5:T5">
      <formula1>$BD$21:$BD$26</formula1>
    </dataValidation>
  </dataValidations>
  <hyperlinks>
    <hyperlink ref="B2:E2" location="業務情報!A1" tooltip=" 業務情報シートに移動" display="業務情報"/>
  </hyperlinks>
  <printOptions horizontalCentered="1"/>
  <pageMargins left="0.5905511811023623" right="0.5905511811023623" top="0.984251968503937" bottom="0.3937007874015748" header="0.5118110236220472" footer="0.5118110236220472"/>
  <pageSetup blackAndWhite="1" fitToHeight="1" fitToWidth="1" horizontalDpi="600" verticalDpi="600" orientation="landscape" paperSize="9" r:id="rId4"/>
  <ignoredErrors>
    <ignoredError sqref="AX27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murakami</cp:lastModifiedBy>
  <cp:lastPrinted>2015-04-02T05:19:15Z</cp:lastPrinted>
  <dcterms:created xsi:type="dcterms:W3CDTF">2007-05-11T02:34:56Z</dcterms:created>
  <dcterms:modified xsi:type="dcterms:W3CDTF">2015-06-22T07:07:38Z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